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titude 5320\sava-bookkeeper\Downloads\"/>
    </mc:Choice>
  </mc:AlternateContent>
  <xr:revisionPtr revIDLastSave="0" documentId="13_ncr:1_{D670A663-0688-4C26-83D4-1408833BFBDA}" xr6:coauthVersionLast="47" xr6:coauthVersionMax="47" xr10:uidLastSave="{00000000-0000-0000-0000-000000000000}"/>
  <bookViews>
    <workbookView xWindow="-120" yWindow="-120" windowWidth="29040" windowHeight="15720" tabRatio="500" firstSheet="2" activeTab="9" xr2:uid="{00000000-000D-0000-FFFF-FFFF00000000}"/>
  </bookViews>
  <sheets>
    <sheet name="Giả Định" sheetId="1" r:id="rId1"/>
    <sheet name="P&amp;L" sheetId="2" r:id="rId2"/>
    <sheet name="Balance Sheet" sheetId="3" r:id="rId3"/>
    <sheet name="Cash Flow" sheetId="4" r:id="rId4"/>
    <sheet name="Dashboard" sheetId="5" r:id="rId5"/>
    <sheet name="So Sánh" sheetId="6" r:id="rId6"/>
    <sheet name="Dự Báo 13 Tuần" sheetId="7" r:id="rId7"/>
    <sheet name="Nhạy Cảm" sheetId="8" r:id="rId8"/>
    <sheet name="Kịch Bản" sheetId="9" r:id="rId9"/>
    <sheet name="Monte Carlo" sheetId="10" r:id="rId1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4" i="9" l="1"/>
  <c r="F34" i="9" s="1"/>
  <c r="C34" i="9"/>
  <c r="B34" i="9"/>
  <c r="E34" i="9" s="1"/>
  <c r="D31" i="9"/>
  <c r="F31" i="9" s="1"/>
  <c r="C31" i="9"/>
  <c r="B31" i="9"/>
  <c r="E31" i="9" s="1"/>
  <c r="F13" i="9"/>
  <c r="D13" i="9"/>
  <c r="B13" i="9"/>
  <c r="G9" i="9"/>
  <c r="C9" i="9"/>
  <c r="G8" i="9"/>
  <c r="C8" i="9"/>
  <c r="G7" i="9"/>
  <c r="C7" i="9"/>
  <c r="G6" i="9"/>
  <c r="C6" i="9"/>
  <c r="G5" i="9"/>
  <c r="C5" i="9"/>
  <c r="B14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O11" i="7" s="1"/>
  <c r="N6" i="7"/>
  <c r="M6" i="7"/>
  <c r="L6" i="7"/>
  <c r="K6" i="7"/>
  <c r="J6" i="7"/>
  <c r="I6" i="7"/>
  <c r="H6" i="7"/>
  <c r="G6" i="7"/>
  <c r="F6" i="7"/>
  <c r="E6" i="7"/>
  <c r="D6" i="7"/>
  <c r="C6" i="7"/>
  <c r="B6" i="7"/>
  <c r="O6" i="7" s="1"/>
  <c r="N5" i="7"/>
  <c r="M5" i="7"/>
  <c r="L5" i="7"/>
  <c r="K5" i="7"/>
  <c r="J5" i="7"/>
  <c r="I5" i="7"/>
  <c r="H5" i="7"/>
  <c r="G5" i="7"/>
  <c r="F5" i="7"/>
  <c r="E5" i="7"/>
  <c r="D5" i="7"/>
  <c r="C5" i="7"/>
  <c r="B5" i="7"/>
  <c r="F187" i="5"/>
  <c r="B167" i="5"/>
  <c r="D130" i="5"/>
  <c r="C130" i="5"/>
  <c r="D129" i="5"/>
  <c r="C129" i="5"/>
  <c r="D128" i="5"/>
  <c r="C128" i="5"/>
  <c r="D127" i="5"/>
  <c r="C127" i="5"/>
  <c r="D126" i="5"/>
  <c r="C126" i="5"/>
  <c r="D125" i="5"/>
  <c r="C125" i="5"/>
  <c r="D124" i="5"/>
  <c r="C124" i="5"/>
  <c r="F11" i="4"/>
  <c r="F12" i="4" s="1"/>
  <c r="E11" i="4"/>
  <c r="E12" i="4" s="1"/>
  <c r="D11" i="4"/>
  <c r="D12" i="4" s="1"/>
  <c r="C11" i="4"/>
  <c r="C12" i="4" s="1"/>
  <c r="B11" i="4"/>
  <c r="B12" i="4" s="1"/>
  <c r="B7" i="4"/>
  <c r="F6" i="4"/>
  <c r="E6" i="4"/>
  <c r="D6" i="4"/>
  <c r="C6" i="4"/>
  <c r="B6" i="4"/>
  <c r="B25" i="3"/>
  <c r="B22" i="3"/>
  <c r="C22" i="3" s="1"/>
  <c r="D22" i="3" s="1"/>
  <c r="E22" i="3" s="1"/>
  <c r="F22" i="3" s="1"/>
  <c r="B21" i="3"/>
  <c r="C21" i="3" s="1"/>
  <c r="D21" i="3" s="1"/>
  <c r="E21" i="3" s="1"/>
  <c r="F21" i="3" s="1"/>
  <c r="B13" i="3"/>
  <c r="C13" i="3" s="1"/>
  <c r="D13" i="3" s="1"/>
  <c r="E13" i="3" s="1"/>
  <c r="F13" i="3" s="1"/>
  <c r="B12" i="3"/>
  <c r="B9" i="3"/>
  <c r="F14" i="2"/>
  <c r="F15" i="4" s="1"/>
  <c r="F16" i="4" s="1"/>
  <c r="E14" i="2"/>
  <c r="E15" i="4" s="1"/>
  <c r="E16" i="4" s="1"/>
  <c r="D14" i="2"/>
  <c r="D15" i="4" s="1"/>
  <c r="D16" i="4" s="1"/>
  <c r="C14" i="2"/>
  <c r="C15" i="4" s="1"/>
  <c r="C16" i="4" s="1"/>
  <c r="B14" i="2"/>
  <c r="B15" i="4" s="1"/>
  <c r="B16" i="4" s="1"/>
  <c r="F12" i="2"/>
  <c r="E12" i="2"/>
  <c r="D12" i="2"/>
  <c r="C12" i="2"/>
  <c r="B12" i="2"/>
  <c r="B4" i="2"/>
  <c r="D27" i="9" l="1"/>
  <c r="F14" i="9"/>
  <c r="G13" i="9"/>
  <c r="D79" i="5"/>
  <c r="B28" i="5"/>
  <c r="B61" i="5"/>
  <c r="F28" i="5"/>
  <c r="E28" i="5"/>
  <c r="D28" i="5"/>
  <c r="C28" i="5"/>
  <c r="C27" i="9"/>
  <c r="C27" i="5"/>
  <c r="D14" i="9"/>
  <c r="E27" i="5"/>
  <c r="D27" i="5"/>
  <c r="C79" i="5"/>
  <c r="B60" i="5"/>
  <c r="F27" i="5"/>
  <c r="B27" i="5"/>
  <c r="B27" i="9"/>
  <c r="E27" i="9" s="1"/>
  <c r="C13" i="9"/>
  <c r="C26" i="5"/>
  <c r="B26" i="5"/>
  <c r="B79" i="5"/>
  <c r="B59" i="5"/>
  <c r="B14" i="9"/>
  <c r="F26" i="5"/>
  <c r="E26" i="5"/>
  <c r="D26" i="5"/>
  <c r="L7" i="7"/>
  <c r="K7" i="7"/>
  <c r="J7" i="7"/>
  <c r="I7" i="7"/>
  <c r="H7" i="7"/>
  <c r="G7" i="7"/>
  <c r="F7" i="7"/>
  <c r="E7" i="7"/>
  <c r="D7" i="7"/>
  <c r="C7" i="7"/>
  <c r="B7" i="7"/>
  <c r="O5" i="7"/>
  <c r="M7" i="7"/>
  <c r="N7" i="7"/>
  <c r="C25" i="3"/>
  <c r="B14" i="3"/>
  <c r="C12" i="3"/>
  <c r="B5" i="5"/>
  <c r="B9" i="2"/>
  <c r="B8" i="2"/>
  <c r="B5" i="2"/>
  <c r="B6" i="2" s="1"/>
  <c r="I4" i="2"/>
  <c r="H4" i="2"/>
  <c r="C4" i="2"/>
  <c r="B7" i="3"/>
  <c r="G14" i="9" l="1"/>
  <c r="F15" i="9"/>
  <c r="D28" i="9"/>
  <c r="D80" i="5"/>
  <c r="D15" i="9"/>
  <c r="C28" i="9"/>
  <c r="C80" i="5"/>
  <c r="C14" i="9"/>
  <c r="B15" i="9"/>
  <c r="B28" i="9"/>
  <c r="B80" i="5"/>
  <c r="O7" i="7"/>
  <c r="D25" i="3"/>
  <c r="D12" i="3"/>
  <c r="C14" i="3"/>
  <c r="B10" i="7"/>
  <c r="K10" i="7"/>
  <c r="D10" i="7"/>
  <c r="E10" i="7"/>
  <c r="G10" i="7"/>
  <c r="I10" i="7"/>
  <c r="J10" i="7"/>
  <c r="L10" i="7"/>
  <c r="N10" i="7"/>
  <c r="H10" i="7"/>
  <c r="C10" i="7"/>
  <c r="F10" i="7"/>
  <c r="M10" i="7"/>
  <c r="B7" i="2"/>
  <c r="B10" i="2"/>
  <c r="C9" i="7"/>
  <c r="G9" i="7"/>
  <c r="K9" i="7"/>
  <c r="B8" i="3"/>
  <c r="B20" i="3"/>
  <c r="B23" i="3" s="1"/>
  <c r="E9" i="7"/>
  <c r="I9" i="7"/>
  <c r="N9" i="7"/>
  <c r="B9" i="7"/>
  <c r="F9" i="7"/>
  <c r="J9" i="7"/>
  <c r="D9" i="7"/>
  <c r="H9" i="7"/>
  <c r="L9" i="7"/>
  <c r="M9" i="7"/>
  <c r="D4" i="2"/>
  <c r="C5" i="2"/>
  <c r="C6" i="2"/>
  <c r="C8" i="2"/>
  <c r="C9" i="2"/>
  <c r="C7" i="3"/>
  <c r="B182" i="5"/>
  <c r="F182" i="5" s="1"/>
  <c r="C5" i="5"/>
  <c r="C6" i="5" s="1"/>
  <c r="C7" i="4"/>
  <c r="C9" i="3"/>
  <c r="D93" i="5"/>
  <c r="E93" i="5"/>
  <c r="B126" i="5"/>
  <c r="E126" i="5" s="1"/>
  <c r="B154" i="5"/>
  <c r="F27" i="9"/>
  <c r="G15" i="9" l="1"/>
  <c r="F16" i="9"/>
  <c r="F17" i="9"/>
  <c r="D29" i="9"/>
  <c r="F29" i="9" s="1"/>
  <c r="D81" i="5"/>
  <c r="D16" i="9"/>
  <c r="C32" i="9" s="1"/>
  <c r="D17" i="9"/>
  <c r="C29" i="9"/>
  <c r="C81" i="5"/>
  <c r="C15" i="9"/>
  <c r="B16" i="9"/>
  <c r="B17" i="9"/>
  <c r="B29" i="9"/>
  <c r="E29" i="9" s="1"/>
  <c r="B81" i="5"/>
  <c r="B34" i="5"/>
  <c r="C34" i="5"/>
  <c r="D34" i="5"/>
  <c r="E34" i="5"/>
  <c r="F34" i="5"/>
  <c r="E25" i="3"/>
  <c r="D14" i="3"/>
  <c r="E12" i="3"/>
  <c r="B8" i="5"/>
  <c r="H6" i="2"/>
  <c r="I6" i="2"/>
  <c r="B11" i="2"/>
  <c r="B13" i="2"/>
  <c r="B15" i="2" s="1"/>
  <c r="O9" i="7"/>
  <c r="B12" i="7"/>
  <c r="C12" i="7"/>
  <c r="D12" i="7"/>
  <c r="E12" i="7"/>
  <c r="F12" i="7"/>
  <c r="G12" i="7"/>
  <c r="H12" i="7"/>
  <c r="I12" i="7"/>
  <c r="J12" i="7"/>
  <c r="K12" i="7"/>
  <c r="L12" i="7"/>
  <c r="M12" i="7"/>
  <c r="N12" i="7"/>
  <c r="E4" i="2"/>
  <c r="D5" i="2"/>
  <c r="D6" i="2"/>
  <c r="D8" i="2"/>
  <c r="D9" i="2"/>
  <c r="D7" i="3"/>
  <c r="D9" i="3"/>
  <c r="D5" i="5"/>
  <c r="D6" i="5" s="1"/>
  <c r="D7" i="4"/>
  <c r="C154" i="5"/>
  <c r="C8" i="3"/>
  <c r="C20" i="3"/>
  <c r="C23" i="3" s="1"/>
  <c r="C7" i="2"/>
  <c r="C8" i="5" s="1"/>
  <c r="C10" i="2"/>
  <c r="E28" i="9"/>
  <c r="O10" i="7"/>
  <c r="F28" i="9"/>
  <c r="G16" i="9" l="1"/>
  <c r="D32" i="9"/>
  <c r="F32" i="9" s="1"/>
  <c r="G17" i="9"/>
  <c r="F18" i="9"/>
  <c r="D30" i="9"/>
  <c r="B31" i="5"/>
  <c r="C31" i="5"/>
  <c r="D31" i="5"/>
  <c r="E31" i="5"/>
  <c r="F31" i="5"/>
  <c r="C61" i="5"/>
  <c r="D82" i="5"/>
  <c r="D18" i="9"/>
  <c r="C33" i="9" s="1"/>
  <c r="C30" i="9"/>
  <c r="B30" i="5"/>
  <c r="C30" i="5"/>
  <c r="D30" i="5"/>
  <c r="E30" i="5"/>
  <c r="F30" i="5"/>
  <c r="C60" i="5"/>
  <c r="C82" i="5"/>
  <c r="C16" i="9"/>
  <c r="B32" i="9"/>
  <c r="E32" i="9" s="1"/>
  <c r="C17" i="9"/>
  <c r="B18" i="9"/>
  <c r="B30" i="9"/>
  <c r="B29" i="5"/>
  <c r="C29" i="5"/>
  <c r="D29" i="5"/>
  <c r="E29" i="5"/>
  <c r="F29" i="5"/>
  <c r="C59" i="5"/>
  <c r="B82" i="5"/>
  <c r="F25" i="3"/>
  <c r="E14" i="3"/>
  <c r="F12" i="3"/>
  <c r="F14" i="3" s="1"/>
  <c r="B9" i="5"/>
  <c r="D92" i="5"/>
  <c r="E92" i="5"/>
  <c r="B124" i="5"/>
  <c r="E124" i="5" s="1"/>
  <c r="B180" i="5"/>
  <c r="F180" i="5" s="1"/>
  <c r="B153" i="5"/>
  <c r="H10" i="2"/>
  <c r="I10" i="2"/>
  <c r="B16" i="2"/>
  <c r="B17" i="2" s="1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O12" i="7"/>
  <c r="F4" i="2"/>
  <c r="E5" i="2"/>
  <c r="E6" i="2"/>
  <c r="E8" i="2"/>
  <c r="E9" i="2"/>
  <c r="E7" i="3"/>
  <c r="E5" i="5"/>
  <c r="E6" i="5" s="1"/>
  <c r="E9" i="3"/>
  <c r="E7" i="4"/>
  <c r="D20" i="3"/>
  <c r="D23" i="3" s="1"/>
  <c r="D8" i="3"/>
  <c r="D7" i="2"/>
  <c r="D8" i="5" s="1"/>
  <c r="D10" i="2"/>
  <c r="E154" i="5"/>
  <c r="D154" i="5"/>
  <c r="C11" i="2"/>
  <c r="C13" i="2"/>
  <c r="C15" i="2" s="1"/>
  <c r="G18" i="9" l="1"/>
  <c r="D33" i="9"/>
  <c r="F33" i="9" s="1"/>
  <c r="C18" i="9"/>
  <c r="B33" i="9"/>
  <c r="E33" i="9" s="1"/>
  <c r="H17" i="2"/>
  <c r="I17" i="2"/>
  <c r="B18" i="2"/>
  <c r="B26" i="3"/>
  <c r="B5" i="4"/>
  <c r="B8" i="4" s="1"/>
  <c r="B54" i="5"/>
  <c r="B53" i="5"/>
  <c r="B52" i="5"/>
  <c r="B51" i="5"/>
  <c r="B50" i="5"/>
  <c r="B49" i="5"/>
  <c r="B48" i="5"/>
  <c r="B47" i="5"/>
  <c r="B46" i="5"/>
  <c r="B45" i="5"/>
  <c r="B44" i="5"/>
  <c r="B43" i="5"/>
  <c r="B15" i="7"/>
  <c r="O13" i="7"/>
  <c r="B42" i="5"/>
  <c r="F39" i="5"/>
  <c r="E39" i="5"/>
  <c r="D39" i="5"/>
  <c r="C39" i="5"/>
  <c r="B39" i="5"/>
  <c r="F38" i="5"/>
  <c r="E38" i="5"/>
  <c r="D38" i="5"/>
  <c r="C38" i="5"/>
  <c r="B38" i="5"/>
  <c r="B35" i="5"/>
  <c r="C35" i="5"/>
  <c r="D35" i="5"/>
  <c r="E35" i="5"/>
  <c r="F35" i="5"/>
  <c r="F5" i="2"/>
  <c r="F6" i="2" s="1"/>
  <c r="F8" i="2"/>
  <c r="F9" i="2"/>
  <c r="F5" i="5"/>
  <c r="F6" i="5" s="1"/>
  <c r="F9" i="3"/>
  <c r="F7" i="4"/>
  <c r="F7" i="3"/>
  <c r="B40" i="5"/>
  <c r="E8" i="3"/>
  <c r="E20" i="3"/>
  <c r="E23" i="3" s="1"/>
  <c r="E7" i="2"/>
  <c r="E8" i="5" s="1"/>
  <c r="E10" i="2"/>
  <c r="D11" i="2"/>
  <c r="D9" i="5" s="1"/>
  <c r="D13" i="2"/>
  <c r="D15" i="2" s="1"/>
  <c r="C153" i="5"/>
  <c r="C9" i="5"/>
  <c r="C16" i="2"/>
  <c r="C17" i="2"/>
  <c r="E30" i="9"/>
  <c r="F30" i="9"/>
  <c r="B181" i="5" l="1"/>
  <c r="F181" i="5" s="1"/>
  <c r="B10" i="5"/>
  <c r="D97" i="5"/>
  <c r="E97" i="5"/>
  <c r="B125" i="5"/>
  <c r="E125" i="5" s="1"/>
  <c r="B27" i="3"/>
  <c r="C26" i="3"/>
  <c r="B28" i="3"/>
  <c r="B17" i="5"/>
  <c r="B18" i="5"/>
  <c r="B17" i="4"/>
  <c r="C42" i="5"/>
  <c r="C14" i="7"/>
  <c r="C15" i="7" s="1"/>
  <c r="B36" i="5"/>
  <c r="C36" i="5"/>
  <c r="D36" i="5"/>
  <c r="E36" i="5"/>
  <c r="F36" i="5"/>
  <c r="F8" i="3"/>
  <c r="F20" i="3"/>
  <c r="F23" i="3" s="1"/>
  <c r="F7" i="2"/>
  <c r="F8" i="5" s="1"/>
  <c r="F10" i="2"/>
  <c r="E11" i="2"/>
  <c r="E9" i="5" s="1"/>
  <c r="E13" i="2"/>
  <c r="E15" i="2" s="1"/>
  <c r="D16" i="2"/>
  <c r="D17" i="2" s="1"/>
  <c r="E153" i="5"/>
  <c r="D153" i="5"/>
  <c r="C18" i="2"/>
  <c r="C10" i="5" s="1"/>
  <c r="C5" i="4"/>
  <c r="C8" i="4" s="1"/>
  <c r="C27" i="3" l="1"/>
  <c r="D26" i="3"/>
  <c r="C28" i="3"/>
  <c r="B185" i="5"/>
  <c r="F185" i="5" s="1"/>
  <c r="B129" i="5"/>
  <c r="E129" i="5" s="1"/>
  <c r="E96" i="5"/>
  <c r="D96" i="5"/>
  <c r="B14" i="5"/>
  <c r="B156" i="5"/>
  <c r="B29" i="3"/>
  <c r="B157" i="5"/>
  <c r="B13" i="5"/>
  <c r="D95" i="5"/>
  <c r="E95" i="5"/>
  <c r="B128" i="5"/>
  <c r="E128" i="5" s="1"/>
  <c r="B184" i="5"/>
  <c r="F184" i="5" s="1"/>
  <c r="C17" i="4"/>
  <c r="B19" i="5"/>
  <c r="D94" i="5"/>
  <c r="E94" i="5"/>
  <c r="B127" i="5"/>
  <c r="E127" i="5" s="1"/>
  <c r="B155" i="5"/>
  <c r="B183" i="5"/>
  <c r="F183" i="5" s="1"/>
  <c r="B6" i="3"/>
  <c r="D14" i="7"/>
  <c r="D15" i="7" s="1"/>
  <c r="C43" i="5"/>
  <c r="F11" i="2"/>
  <c r="F13" i="2"/>
  <c r="F15" i="2" s="1"/>
  <c r="E16" i="2"/>
  <c r="E17" i="2" s="1"/>
  <c r="D18" i="2"/>
  <c r="D10" i="5" s="1"/>
  <c r="D5" i="4"/>
  <c r="D8" i="4" s="1"/>
  <c r="C17" i="5"/>
  <c r="C18" i="5"/>
  <c r="D27" i="3" l="1"/>
  <c r="E26" i="3"/>
  <c r="D28" i="3"/>
  <c r="C156" i="5"/>
  <c r="C14" i="5"/>
  <c r="C29" i="3"/>
  <c r="C13" i="5"/>
  <c r="C157" i="5"/>
  <c r="D17" i="4"/>
  <c r="C19" i="5"/>
  <c r="C6" i="3"/>
  <c r="C155" i="5"/>
  <c r="E14" i="7"/>
  <c r="E15" i="7" s="1"/>
  <c r="C44" i="5"/>
  <c r="F9" i="5"/>
  <c r="D40" i="5"/>
  <c r="F16" i="2"/>
  <c r="F17" i="2"/>
  <c r="E18" i="2"/>
  <c r="E10" i="5" s="1"/>
  <c r="E5" i="4"/>
  <c r="E8" i="4" s="1"/>
  <c r="D17" i="5"/>
  <c r="D18" i="5"/>
  <c r="B10" i="3"/>
  <c r="B19" i="4"/>
  <c r="B23" i="5" s="1"/>
  <c r="E27" i="3" l="1"/>
  <c r="F26" i="3"/>
  <c r="E28" i="3"/>
  <c r="D14" i="5"/>
  <c r="D29" i="3"/>
  <c r="D13" i="5"/>
  <c r="D156" i="5"/>
  <c r="E156" i="5"/>
  <c r="E157" i="5"/>
  <c r="D157" i="5"/>
  <c r="E17" i="4"/>
  <c r="D19" i="5"/>
  <c r="D6" i="3"/>
  <c r="D155" i="5"/>
  <c r="E155" i="5"/>
  <c r="F14" i="7"/>
  <c r="F15" i="7" s="1"/>
  <c r="C45" i="5"/>
  <c r="F18" i="2"/>
  <c r="F10" i="5" s="1"/>
  <c r="F5" i="4"/>
  <c r="F8" i="4" s="1"/>
  <c r="C40" i="5"/>
  <c r="E17" i="5"/>
  <c r="E18" i="5"/>
  <c r="B15" i="3"/>
  <c r="B16" i="3" s="1"/>
  <c r="B130" i="5"/>
  <c r="E130" i="5" s="1"/>
  <c r="B186" i="5"/>
  <c r="F186" i="5" s="1"/>
  <c r="C10" i="3"/>
  <c r="C15" i="3" s="1"/>
  <c r="C16" i="3" s="1"/>
  <c r="C19" i="4"/>
  <c r="C23" i="5" s="1"/>
  <c r="F27" i="3" l="1"/>
  <c r="F28" i="3"/>
  <c r="E14" i="5"/>
  <c r="E13" i="5"/>
  <c r="E29" i="3"/>
  <c r="F17" i="4"/>
  <c r="E19" i="5"/>
  <c r="E6" i="3"/>
  <c r="G14" i="7"/>
  <c r="G15" i="7" s="1"/>
  <c r="C46" i="5"/>
  <c r="F17" i="5"/>
  <c r="F18" i="5"/>
  <c r="C132" i="5"/>
  <c r="B132" i="5"/>
  <c r="D132" i="5"/>
  <c r="E132" i="5" s="1"/>
  <c r="D189" i="5"/>
  <c r="E189" i="5" s="1"/>
  <c r="B189" i="5"/>
  <c r="C189" i="5"/>
  <c r="C17" i="3"/>
  <c r="C30" i="3"/>
  <c r="D10" i="3"/>
  <c r="D15" i="3" s="1"/>
  <c r="D16" i="3" s="1"/>
  <c r="D19" i="4"/>
  <c r="D23" i="5" s="1"/>
  <c r="B30" i="3"/>
  <c r="B17" i="3"/>
  <c r="F14" i="5" l="1"/>
  <c r="F29" i="3"/>
  <c r="F13" i="5"/>
  <c r="F19" i="5"/>
  <c r="F6" i="3"/>
  <c r="H14" i="7"/>
  <c r="H15" i="7" s="1"/>
  <c r="C47" i="5"/>
  <c r="C12" i="5"/>
  <c r="C31" i="3"/>
  <c r="C22" i="5" s="1"/>
  <c r="C15" i="5"/>
  <c r="D17" i="3"/>
  <c r="D30" i="3"/>
  <c r="B12" i="5"/>
  <c r="B31" i="3"/>
  <c r="B22" i="5" s="1"/>
  <c r="B15" i="5"/>
  <c r="E10" i="3"/>
  <c r="E15" i="3" s="1"/>
  <c r="E16" i="3" s="1"/>
  <c r="E19" i="4"/>
  <c r="E23" i="5" s="1"/>
  <c r="I14" i="7" l="1"/>
  <c r="I15" i="7" s="1"/>
  <c r="C48" i="5"/>
  <c r="D31" i="3"/>
  <c r="D22" i="5" s="1"/>
  <c r="D12" i="5"/>
  <c r="D15" i="5"/>
  <c r="E17" i="3"/>
  <c r="E30" i="3"/>
  <c r="F10" i="3"/>
  <c r="F15" i="3" s="1"/>
  <c r="F16" i="3" s="1"/>
  <c r="F19" i="4"/>
  <c r="F23" i="5" s="1"/>
  <c r="J14" i="7" l="1"/>
  <c r="J15" i="7" s="1"/>
  <c r="C49" i="5"/>
  <c r="E31" i="3"/>
  <c r="E22" i="5" s="1"/>
  <c r="E12" i="5"/>
  <c r="E15" i="5"/>
  <c r="F17" i="3"/>
  <c r="F30" i="3"/>
  <c r="K14" i="7" l="1"/>
  <c r="K15" i="7" s="1"/>
  <c r="C50" i="5"/>
  <c r="F12" i="5"/>
  <c r="F31" i="3"/>
  <c r="F22" i="5" s="1"/>
  <c r="F15" i="5"/>
  <c r="L14" i="7" l="1"/>
  <c r="L15" i="7" s="1"/>
  <c r="C51" i="5"/>
  <c r="M14" i="7" l="1"/>
  <c r="M15" i="7" s="1"/>
  <c r="C52" i="5"/>
  <c r="N14" i="7" l="1"/>
  <c r="N15" i="7" s="1"/>
  <c r="C53" i="5"/>
  <c r="C54" i="5" l="1"/>
  <c r="F37" i="5"/>
  <c r="E37" i="5"/>
  <c r="D37" i="5"/>
  <c r="C37" i="5"/>
  <c r="B37" i="5"/>
  <c r="O15" i="7"/>
</calcChain>
</file>

<file path=xl/sharedStrings.xml><?xml version="1.0" encoding="utf-8"?>
<sst xmlns="http://schemas.openxmlformats.org/spreadsheetml/2006/main" count="1065" uniqueCount="683">
  <si>
    <t>MÔ HÌNH TÀI CHÍNH 3 BÁO CÁO - GIẢ ĐỊNH CHÍNH</t>
  </si>
  <si>
    <t>Chỉ tiêu</t>
  </si>
  <si>
    <t>Giá trị</t>
  </si>
  <si>
    <t>Năm bắt đầu</t>
  </si>
  <si>
    <t>Tăng trưởng doanh thu (%)</t>
  </si>
  <si>
    <t>Giá vốn / Doanh thu (%)</t>
  </si>
  <si>
    <t>Chi phí bán hàng / Doanh thu (%)</t>
  </si>
  <si>
    <t>Chi phí quản lý / Doanh thu (%)</t>
  </si>
  <si>
    <t>Thuế suất TNDN (%)</t>
  </si>
  <si>
    <t>Khấu hao hàng năm (triệu VND)</t>
  </si>
  <si>
    <t>Chi phí lãi vay (triệu VND)</t>
  </si>
  <si>
    <t>Vốn đầu tư TSCĐ - CapEx (triệu VND)</t>
  </si>
  <si>
    <t>Thay đổi vốn lưu động / Doanh thu (%)</t>
  </si>
  <si>
    <t>Số dư tiền đầu kỳ (triệu VND)</t>
  </si>
  <si>
    <t>Nợ vay dài hạn (triệu VND)</t>
  </si>
  <si>
    <t>Vốn chủ sở hữu ban đầu (triệu VND)</t>
  </si>
  <si>
    <t>Doanh thu năm gốc 2024 (triệu VND)</t>
  </si>
  <si>
    <t>Ghi chú: Ô màu xanh = Giả định đầu vào. Thay đổi các giá trị trên để cập nhật toàn bộ mô hình.</t>
  </si>
  <si>
    <t>BÁO CÁO KẾT QUẢ KINH DOANH (P&amp;L) - Đơn vị: Triệu VND</t>
  </si>
  <si>
    <t>2024</t>
  </si>
  <si>
    <t>2025</t>
  </si>
  <si>
    <t>2026</t>
  </si>
  <si>
    <t>2027</t>
  </si>
  <si>
    <t>2028</t>
  </si>
  <si>
    <t>⚠️ Cảnh báo</t>
  </si>
  <si>
    <t>📊 vs Ngưỡng</t>
  </si>
  <si>
    <t>💡 Hành động</t>
  </si>
  <si>
    <t>1. Doanh thu thuần</t>
  </si>
  <si>
    <t>Kiểm tra pipeline bán hàng</t>
  </si>
  <si>
    <t>2. Giá vốn hàng bán</t>
  </si>
  <si>
    <t>3. Lợi nhuận gộp</t>
  </si>
  <si>
    <t>Xem xét giá bán và COGS</t>
  </si>
  <si>
    <t xml:space="preserve">   Biên lợi nhuận gộp (%)</t>
  </si>
  <si>
    <t>4. Chi phí bán hàng</t>
  </si>
  <si>
    <t>5. Chi phí quản lý doanh nghiệp</t>
  </si>
  <si>
    <t>6. EBITDA</t>
  </si>
  <si>
    <t>Kiểm soát chi phí vận hành</t>
  </si>
  <si>
    <t xml:space="preserve">   Biên EBITDA (%)</t>
  </si>
  <si>
    <t>7. Khấu hao &amp; Khấu trừ (D&amp;A)</t>
  </si>
  <si>
    <t>8. EBIT (Lợi nhuận từ hoạt động KD)</t>
  </si>
  <si>
    <t>9. Chi phí lãi vay</t>
  </si>
  <si>
    <t>10. Lợi nhuận trước thuế (EBT)</t>
  </si>
  <si>
    <t>11. Thuế thu nhập doanh nghiệp</t>
  </si>
  <si>
    <t>12. Lợi nhuận sau thuế (LNST)</t>
  </si>
  <si>
    <t>Tổng rà soát P&amp;L toàn diện</t>
  </si>
  <si>
    <t xml:space="preserve">   Biên LNST (%)</t>
  </si>
  <si>
    <t>BẢNG CÂN ĐỐI KẾ TOÁN - Đơn vị: Triệu VND</t>
  </si>
  <si>
    <t>TÀI SẢN</t>
  </si>
  <si>
    <t>I. TÀI SẢN NGẮN HẠN</t>
  </si>
  <si>
    <t>1. Tiền và tương đương tiền</t>
  </si>
  <si>
    <t>2. Phải thu khách hàng</t>
  </si>
  <si>
    <t>3. Hàng tồn kho</t>
  </si>
  <si>
    <t>4. Tài sản ngắn hạn khác</t>
  </si>
  <si>
    <t>TỔNG TÀI SẢN NGẮN HẠN</t>
  </si>
  <si>
    <t>II. TÀI SẢN DÀI HẠN</t>
  </si>
  <si>
    <t>5. Nguyên giá TSCĐ</t>
  </si>
  <si>
    <t>6. Khấu hao lũy kế</t>
  </si>
  <si>
    <t>7. TSCĐ thuần (Giá trị còn lại)</t>
  </si>
  <si>
    <t>TỔNG TÀI SẢN DÀI HẠN</t>
  </si>
  <si>
    <t>TỔNG TÀI SẢN</t>
  </si>
  <si>
    <t>NGUỒN VỐN</t>
  </si>
  <si>
    <t>I. NỢ PHẢI TRẢ</t>
  </si>
  <si>
    <t>1. Phải trả người bán</t>
  </si>
  <si>
    <t>2. Nợ vay ngắn hạn</t>
  </si>
  <si>
    <t>3. Nợ vay dài hạn</t>
  </si>
  <si>
    <t>TỔNG NỢ PHẢI TRẢ</t>
  </si>
  <si>
    <t>II. VỐN CHỦ SỞ HỮU</t>
  </si>
  <si>
    <t>4. Vốn góp</t>
  </si>
  <si>
    <t>5. Lợi nhuận giữ lại</t>
  </si>
  <si>
    <t>TỔNG VỐN CHỦ SỞ HỮU</t>
  </si>
  <si>
    <t>TỔNG NGUỒN VỐN</t>
  </si>
  <si>
    <t>KIỂM TRA CÂN BẰNG (Tài sản - Nguồn vốn)</t>
  </si>
  <si>
    <t>BÁO CÁO LƯU CHUYỂN TIỀN TỆ - Đơn vị: Triệu VND</t>
  </si>
  <si>
    <t>I. DÒNG TIỀN TỪ HOẠT ĐỘNG KINH DOANH (CFO)</t>
  </si>
  <si>
    <t>1. Lợi nhuận sau thuế</t>
  </si>
  <si>
    <t>2. Cộng lại: Khấu hao</t>
  </si>
  <si>
    <t>3. Thay đổi vốn lưu động</t>
  </si>
  <si>
    <t>TỔNG DÒNG TIỀN HOẠT ĐỘNG (CFO)</t>
  </si>
  <si>
    <t>II. DÒNG TIỀN TỪ HOẠT ĐỘNG ĐẦU TƯ (CFI)</t>
  </si>
  <si>
    <t>4. Mua sắm TSCĐ (CapEx)</t>
  </si>
  <si>
    <t>TỔNG DÒNG TIỀN ĐẦU TƯ (CFI)</t>
  </si>
  <si>
    <t>III. DÒNG TIỀN TỪ HOẠT ĐỘNG TÀI CHÍNH (CFF)</t>
  </si>
  <si>
    <t>5. Trả lãi vay</t>
  </si>
  <si>
    <t>TỔNG DÒNG TIỀN TÀI CHÍNH (CFF)</t>
  </si>
  <si>
    <t>TỔNG THAY ĐỔI TIỀN THUẦN</t>
  </si>
  <si>
    <t>KIỂM TRA: Số dư tiền cuối kỳ = Tiền trên Bảng CĐKT</t>
  </si>
  <si>
    <t>DASHBOARD - TÓM TẮT CHỈ SỐ TÀI CHÍNH</t>
  </si>
  <si>
    <t>Chỉ số</t>
  </si>
  <si>
    <t>--- TĂNG TRƯỞNG ---</t>
  </si>
  <si>
    <t>Doanh thu (triệu VND)</t>
  </si>
  <si>
    <t>-</t>
  </si>
  <si>
    <t>--- BIÊN LỢI NHUẬN ---</t>
  </si>
  <si>
    <t>Biên lợi nhuận gộp (%)</t>
  </si>
  <si>
    <t>Biên EBITDA (%)</t>
  </si>
  <si>
    <t>Biên LNST (%)</t>
  </si>
  <si>
    <t>--- SỨC KHỎE TÀI CHÍNH ---</t>
  </si>
  <si>
    <t>Tổng tài sản (triệu VND)</t>
  </si>
  <si>
    <t>Tỷ lệ Nợ/Vốn chủ (D/E)</t>
  </si>
  <si>
    <t>ROE (%)</t>
  </si>
  <si>
    <t>ROA (%)</t>
  </si>
  <si>
    <t>--- DÒNG TIỀN ---</t>
  </si>
  <si>
    <t>CFO (triệu VND)</t>
  </si>
  <si>
    <t>Free Cash Flow (triệu VND)</t>
  </si>
  <si>
    <t>Số dư tiền cuối kỳ (triệu VND)</t>
  </si>
  <si>
    <t>--- KIỂM TRA MÔ HÌNH ---</t>
  </si>
  <si>
    <t>BS cân bằng (= 0 là đúng)</t>
  </si>
  <si>
    <t>CF khớp BS (= 0 là đúng)</t>
  </si>
  <si>
    <t>--- PHÂN TÍCH KỊCH BẢN ---</t>
  </si>
  <si>
    <t>Doanh thu Bear Case</t>
  </si>
  <si>
    <t>Doanh thu Base Case</t>
  </si>
  <si>
    <t>Doanh thu Bull Case</t>
  </si>
  <si>
    <t>LNST Bear Case</t>
  </si>
  <si>
    <t>LNST Base Case</t>
  </si>
  <si>
    <t>LNST Bull Case</t>
  </si>
  <si>
    <t>--- DỰ BÁO DÒNG TIỀN 13 TUẦN (Tóm tắt) ---</t>
  </si>
  <si>
    <t>Tổng Thu 13 tuần (triệu VND)</t>
  </si>
  <si>
    <t>Tổng Chi 13 tuần (triệu VND)</t>
  </si>
  <si>
    <t>Dòng tiền thuần 13 tuần (triệu VND)</t>
  </si>
  <si>
    <t>Số dư tiền cuối tuần 13 (triệu VND)</t>
  </si>
  <si>
    <t>Tuần có dòng tiền thấp nhất</t>
  </si>
  <si>
    <t>Tuần có dòng tiền cao nhất</t>
  </si>
  <si>
    <t>Tuần</t>
  </si>
  <si>
    <t>Dòng tiền thuần</t>
  </si>
  <si>
    <t>Số dư cuối tuần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</si>
  <si>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</si>
  <si>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</si>
  <si>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</si>
  <si>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</si>
  <si>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</si>
  <si>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</si>
  <si>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</si>
  <si>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</si>
  <si>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</si>
  <si>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</si>
  <si>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</si>
  <si>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</si>
  <si>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</si>
  <si>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Kịch bản</t>
  </si>
  <si>
    <t>Doanh thu</t>
  </si>
  <si>
    <t>LNST</t>
  </si>
  <si>
    <t>Bear Case</t>
  </si>
  <si>
    <t>Base Case</t>
  </si>
  <si>
    <t>Bull Case</t>
  </si>
  <si>
    <t>KPI</t>
  </si>
  <si>
    <t>Bear</t>
  </si>
  <si>
    <t>Base</t>
  </si>
  <si>
    <t>Bull</t>
  </si>
  <si>
    <t>Lợi nhuận gộp</t>
  </si>
  <si>
    <t>EBITDA</t>
  </si>
  <si>
    <t>🚨 HỆ THỐNG CẢNH BÁO SỚM (EARLY WARNING SYSTEM)</t>
  </si>
  <si>
    <t>Ngưỡng Cảnh báo</t>
  </si>
  <si>
    <t>Ngưỡng Nguy hiểm</t>
  </si>
  <si>
    <t>Giá trị Hiện tại</t>
  </si>
  <si>
    <t>Trạng thái</t>
  </si>
  <si>
    <t>Hành động</t>
  </si>
  <si>
    <t>&lt; 15%</t>
  </si>
  <si>
    <t>&lt; 10%</t>
  </si>
  <si>
    <t>Kiểm soát chi phí ngay</t>
  </si>
  <si>
    <t>Tăng trưởng DT (%)</t>
  </si>
  <si>
    <t>&lt; 5%</t>
  </si>
  <si>
    <t>&lt; 0%</t>
  </si>
  <si>
    <t>Xem xét chiến lược tăng trưởng</t>
  </si>
  <si>
    <t>Số dư tiền (triệu VND)</t>
  </si>
  <si>
    <t>&lt; 1,000</t>
  </si>
  <si>
    <t>&lt; 500</t>
  </si>
  <si>
    <t>Tăng cường thu hồi công nợ</t>
  </si>
  <si>
    <t>Tỷ lệ D/E (lần)</t>
  </si>
  <si>
    <t>&gt; 1.5x</t>
  </si>
  <si>
    <t>&gt; 2.0x</t>
  </si>
  <si>
    <t>Cơ cấu lại nợ vay</t>
  </si>
  <si>
    <t>ROE vs WACC</t>
  </si>
  <si>
    <t>ROE &lt; WACC</t>
  </si>
  <si>
    <t>ROE &lt; 0</t>
  </si>
  <si>
    <t>Cải thiện hiệu quả sử dụng vốn</t>
  </si>
  <si>
    <t>&lt; 8%</t>
  </si>
  <si>
    <t>Tối ưu hóa cơ cấu chi phí</t>
  </si>
  <si>
    <t>📊 MONTE CARLO SUMMARY (1,000 KỊCH BẢN)</t>
  </si>
  <si>
    <t>LNST Mean (triệu VND)</t>
  </si>
  <si>
    <t>LNST VaR 95% (triệu VND)</t>
  </si>
  <si>
    <t>LNST P95 (triệu VND)</t>
  </si>
  <si>
    <t>ROE Mean (%)</t>
  </si>
  <si>
    <t>ROE vs WACC (9.7%)</t>
  </si>
  <si>
    <t>Xác suất đạt mục tiêu LNST</t>
  </si>
  <si>
    <t>💡 WACC = 9.66% (Vốn chủ 12% × 68% + Nợ 6% × 32% × (1-20%))</t>
  </si>
  <si>
    <t>⚡ HỆ THỐNG CẢNH BÁO ĐỘNG (DYNAMIC ALERT SYSTEM)</t>
  </si>
  <si>
    <t>🔧 BẢNG ĐIỀU KHIỂN NGƯỠNG (Thay đổi ô màu xanh để tùy chỉnh)</t>
  </si>
  <si>
    <t>Ngưỡng Xanh (Tốt)</t>
  </si>
  <si>
    <t>Ngưỡng Vàng (Cảnh báo)</t>
  </si>
  <si>
    <t>Ngưỡng Đỏ (Nguy hiểm)</t>
  </si>
  <si>
    <t>Đơn vị</t>
  </si>
  <si>
    <t>Biên EBITDA</t>
  </si>
  <si>
    <t>%</t>
  </si>
  <si>
    <t>Biên LNST</t>
  </si>
  <si>
    <t>Tăng trưởng DT</t>
  </si>
  <si>
    <t>Số dư tiền</t>
  </si>
  <si>
    <t>Triệu VND</t>
  </si>
  <si>
    <t>Tỷ lệ D/E</t>
  </si>
  <si>
    <t>lần</t>
  </si>
  <si>
    <t>ROE</t>
  </si>
  <si>
    <t>Current Ratio</t>
  </si>
  <si>
    <t>📊 BẢNG CẢNH BÁO ĐỘNG - TỰ ĐỘNG CẬP NHẬT</t>
  </si>
  <si>
    <t>Ngưỡng Xanh</t>
  </si>
  <si>
    <t>Ngưỡng Đỏ</t>
  </si>
  <si>
    <t>Trạng thái Động</t>
  </si>
  <si>
    <t>Hành động Khuyến nghị</t>
  </si>
  <si>
    <t>Kiểm soát COGS và OPEX</t>
  </si>
  <si>
    <t>Tối ưu cơ cấu chi phí</t>
  </si>
  <si>
    <t>Cải thiện hiệu quả vốn</t>
  </si>
  <si>
    <t>Quản lý vốn lưu động</t>
  </si>
  <si>
    <t>TỔNG HỢP CẢNH BÁO</t>
  </si>
  <si>
    <t>🎲 MONTE CARLO TỐI ƯU - XÁC SUẤT ĐẠT MỤC TIÊU LNST (1,000 kịch bản có tương quan)</t>
  </si>
  <si>
    <t>Năm</t>
  </si>
  <si>
    <t>Mục tiêu</t>
  </si>
  <si>
    <t>Bear P(≥target)</t>
  </si>
  <si>
    <t>Base P(≥target)</t>
  </si>
  <si>
    <t>Bull P(≥target)</t>
  </si>
  <si>
    <t>Đánh giá tổng hợp</t>
  </si>
  <si>
    <t>✅ Khả thi cao</t>
  </si>
  <si>
    <t>⚠️ Khả thi trung bình</t>
  </si>
  <si>
    <t>🎯 ĐIỂM BẺ GÃY RỦI RO — TĂNG TRƯỞNG TỐI THIỂU ĐỂ ĐẠT MỤC TIÊU LNST</t>
  </si>
  <si>
    <t>Mục tiêu LNST</t>
  </si>
  <si>
    <t>g* Tối thiểu</t>
  </si>
  <si>
    <t>Tăng trưởng Kế hoạch</t>
  </si>
  <si>
    <t>Khoảng đệm (Buffer)</t>
  </si>
  <si>
    <t>Tín hiệu</t>
  </si>
  <si>
    <t>🟢 An toàn cao</t>
  </si>
  <si>
    <t>🔴 Dưới ngưỡng!</t>
  </si>
  <si>
    <t>💡 g* = Tăng trưởng tối thiểu để P(LNST ≥ Mục tiêu) = 50% | Tính bằng Monte Carlo (2,000 simulations, ma trận tương quan tối ưu)</t>
  </si>
  <si>
    <t>⚡ CẢNH BÁO ĐỘNG NÂNG CẤP — PHÂN TÍCH XU HƯỚNG &amp; MỨC ĐỘ KHẨN CẤP</t>
  </si>
  <si>
    <t>Năm 2024</t>
  </si>
  <si>
    <t>Năm 2025</t>
  </si>
  <si>
    <t>Xu hướng</t>
  </si>
  <si>
    <t>Mức độ khẩn cấp</t>
  </si>
  <si>
    <t>Hành động ưu tiên</t>
  </si>
  <si>
    <t>Kiểm soát COGS và OPEX ngay</t>
  </si>
  <si>
    <t>Đẩy mạnh bán hàng và marketing</t>
  </si>
  <si>
    <t>D/E Ratio</t>
  </si>
  <si>
    <t>💰 WACC ĐỘNG — CẤU TRÚC VỐN &amp; CHI PHÍ VỐN</t>
  </si>
  <si>
    <t>Ghi chú</t>
  </si>
  <si>
    <t>D/E Ratio hiện tại</t>
  </si>
  <si>
    <t>0.48x</t>
  </si>
  <si>
    <t>WACC hiện tại</t>
  </si>
  <si>
    <t>Ke=14.2%, Kd=6.0%</t>
  </si>
  <si>
    <t>D/E Ratio tối ưu</t>
  </si>
  <si>
    <t>Tối thiểu hóa WACC</t>
  </si>
  <si>
    <t>WACC tối ưu</t>
  </si>
  <si>
    <t>Tiết kiệm 0.12% nếu tái cơ cấu</t>
  </si>
  <si>
    <t>Beta Levered (hiện tại)</t>
  </si>
  <si>
    <t>β_u=0.85 × Hamada</t>
  </si>
  <si>
    <t>Ke (Chi phí vốn chủ)</t>
  </si>
  <si>
    <t>CAPM: Rf+β×ERP+Size</t>
  </si>
  <si>
    <t>Kd (Chi phí nợ vay)</t>
  </si>
  <si>
    <t>Lãi suất vay bình quân</t>
  </si>
  <si>
    <t>EVA Spread (ROE-WACC)</t>
  </si>
  <si>
    <t>Dương = Tạo giá trị</t>
  </si>
  <si>
    <t>🚦 CẢNH BÁO NGƯỠNG ĐỘNG — TỰ ĐỘNG CẬP NHẬT THEO SỐ LIỆU THỰC TẾ</t>
  </si>
  <si>
    <t>⚙️ Thay đổi ô màu XANH để tùy chỉnh ngưỡng. Cột 'Trạng thái' tự động cập nhật.</t>
  </si>
  <si>
    <t>Chỉ số KPI</t>
  </si>
  <si>
    <t>Giá trị Thực</t>
  </si>
  <si>
    <t>Ngưỡng Tốt ✅</t>
  </si>
  <si>
    <t>Ngưỡng Cảnh báo ⚠️</t>
  </si>
  <si>
    <t>Ngưỡng Nguy hiểm 🔴</t>
  </si>
  <si>
    <t>Số dư tiền (tr.VND)</t>
  </si>
  <si>
    <t>D/E Ratio (lần)</t>
  </si>
  <si>
    <t>Current Ratio (lần)</t>
  </si>
  <si>
    <t>WACC hiện tại (%)</t>
  </si>
  <si>
    <t>0.1111</t>
  </si>
  <si>
    <t>📊 TỔNG HỢP TRẠNG THÁI</t>
  </si>
  <si>
    <t>🏭 CẤU TRÚC VỐN THEO NGÀNH — VỊ TRÍ D/E HIỆN TẠI</t>
  </si>
  <si>
    <t>Ngành so sánh</t>
  </si>
  <si>
    <t>D/E Median ngành</t>
  </si>
  <si>
    <t>D/E Hiện tại</t>
  </si>
  <si>
    <t>Khoảng cách</t>
  </si>
  <si>
    <t>WACC ngành</t>
  </si>
  <si>
    <t>Vị trí</t>
  </si>
  <si>
    <t>FMCG / Tiêu dùng</t>
  </si>
  <si>
    <t>Median-P75 (Trung bình)</t>
  </si>
  <si>
    <t>Bán lẻ</t>
  </si>
  <si>
    <t>P25-Median (Bảo thủ)</t>
  </si>
  <si>
    <t>Sản xuất công nghiệp</t>
  </si>
  <si>
    <t>Dược phẩm / Y tế</t>
  </si>
  <si>
    <t>Logistics / Vận tải</t>
  </si>
  <si>
    <t>Dưới P25 (Thận trọng)</t>
  </si>
  <si>
    <t>📉 VaR &amp; TAIL RISK SUMMARY — Base Case (2,000 simulations)</t>
  </si>
  <si>
    <t>LNST Mean</t>
  </si>
  <si>
    <t>VaR 95%</t>
  </si>
  <si>
    <t>CVaR 95%</t>
  </si>
  <si>
    <t>Stress Test</t>
  </si>
  <si>
    <t>P(≥ Mục tiêu)</t>
  </si>
  <si>
    <t>📊 WACC TỐI ƯU THEO NGÀNH — TOP 5 SO SÁNH</t>
  </si>
  <si>
    <t>Ngành</t>
  </si>
  <si>
    <t>D/E Tối ưu</t>
  </si>
  <si>
    <t>WACC Tối ưu</t>
  </si>
  <si>
    <t>WACC Hiện tại</t>
  </si>
  <si>
    <t>Tiết kiệm</t>
  </si>
  <si>
    <t>Khuyến nghị</t>
  </si>
  <si>
    <t>🟡 Tối ưu nhẹ</t>
  </si>
  <si>
    <t>➡️ Giữ nguyên</t>
  </si>
  <si>
    <t>Thực phẩm &amp; Đồ uống</t>
  </si>
  <si>
    <t>🌡️ STRESS TEST LÃI SUẤT — TÁC ĐỘNG LÊN LNST &amp; WACC</t>
  </si>
  <si>
    <t>Kd mới</t>
  </si>
  <si>
    <t>WACC mới</t>
  </si>
  <si>
    <t>ΔLNST</t>
  </si>
  <si>
    <t>Đánh giá</t>
  </si>
  <si>
    <t>Giảm 200bps (-2%)</t>
  </si>
  <si>
    <t>🟢 Tốt</t>
  </si>
  <si>
    <t>Giảm 100bps (-1%)</t>
  </si>
  <si>
    <t>Base (Hiện tại)</t>
  </si>
  <si>
    <t>🟡 Ổn</t>
  </si>
  <si>
    <t>Tăng 100bps (+1%)</t>
  </si>
  <si>
    <t>Tăng 200bps (+2%)</t>
  </si>
  <si>
    <t>Tăng 300bps (+3%)</t>
  </si>
  <si>
    <t>Tăng 500bps (+5%)</t>
  </si>
  <si>
    <t>🚨 NGƯỠNG VaR KÍCH HOẠT — Tỷ lệ VaR/Mean hiện tại: 37.9%</t>
  </si>
  <si>
    <t>Mức</t>
  </si>
  <si>
    <t>Điều kiện</t>
  </si>
  <si>
    <t>VaR Ngưỡng</t>
  </si>
  <si>
    <t>Mức 1 — Theo dõi</t>
  </si>
  <si>
    <t>VaR &gt; 70% Mean</t>
  </si>
  <si>
    <t>Báo cáo hàng tháng</t>
  </si>
  <si>
    <t>Mức 2 — Cảnh báo</t>
  </si>
  <si>
    <t>VaR 50-70% Mean</t>
  </si>
  <si>
    <t>📍 HIỆN TẠI</t>
  </si>
  <si>
    <t>Họp Ban Giám đốc</t>
  </si>
  <si>
    <t>Mức 3 — Hành động</t>
  </si>
  <si>
    <t>VaR 35-50% Mean</t>
  </si>
  <si>
    <t>Kích hoạt kế hoạch dự phòng</t>
  </si>
  <si>
    <t>Mức 4 — Khẩn cấp</t>
  </si>
  <si>
    <t>VaR &lt; 35% Mean</t>
  </si>
  <si>
    <t>Họp khẩn HĐQT</t>
  </si>
  <si>
    <t>SO SÁNH: MÔ HÌNH 3 BÁO CÁO vs 5 BÁO CÁO</t>
  </si>
  <si>
    <t>Tiêu chí</t>
  </si>
  <si>
    <t>3 BC - Có</t>
  </si>
  <si>
    <t>3 BC - Không</t>
  </si>
  <si>
    <t>5 BC - Có</t>
  </si>
  <si>
    <t>5 BC - Không</t>
  </si>
  <si>
    <t>Ưu tiên</t>
  </si>
  <si>
    <t>P&amp;L (Báo cáo KQKD)</t>
  </si>
  <si>
    <t>✅</t>
  </si>
  <si>
    <t>Cả hai</t>
  </si>
  <si>
    <t>Bắt buộc</t>
  </si>
  <si>
    <t>Balance Sheet (BCĐKT)</t>
  </si>
  <si>
    <t>Cash Flow (LCTT)</t>
  </si>
  <si>
    <t>Phân tích Kịch bản</t>
  </si>
  <si>
    <t>❌</t>
  </si>
  <si>
    <t>5 BC</t>
  </si>
  <si>
    <t>Cao</t>
  </si>
  <si>
    <t>Dự báo Dòng tiền 13 tuần</t>
  </si>
  <si>
    <t>Phân tích Nhạy cảm</t>
  </si>
  <si>
    <t>Trung bình</t>
  </si>
  <si>
    <t>Dashboard KPI</t>
  </si>
  <si>
    <t>Phù hợp SME / Startup</t>
  </si>
  <si>
    <t>3 BC</t>
  </si>
  <si>
    <t>—</t>
  </si>
  <si>
    <t>Phù hợp Doanh nghiệp lớn</t>
  </si>
  <si>
    <t>Phù hợp báo cáo nhà đầu tư</t>
  </si>
  <si>
    <t>Độ phức tạp xây dựng</t>
  </si>
  <si>
    <t>Thấp</t>
  </si>
  <si>
    <t>3 BC cho người mới</t>
  </si>
  <si>
    <t>Thời gian cập nhật</t>
  </si>
  <si>
    <t>Nhanh</t>
  </si>
  <si>
    <t>3 BC linh hoạt hơn</t>
  </si>
  <si>
    <t>💡 Khuyến nghị: Bắt đầu với 3 báo cáo, mở rộng lên 5 báo cáo khi doanh nghiệp tăng trưởng và cần báo cáo nhà đầu tư.</t>
  </si>
  <si>
    <t>DỰ BÁO DÒNG TIỀN 13 TUẦN - Đơn vị: Triệu VND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</si>
  <si>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</si>
  <si>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</si>
  <si>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</si>
  <si>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</si>
  <si>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</si>
  <si>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</si>
  <si>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</si>
  <si>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</si>
  <si>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</si>
  <si>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</si>
  <si>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</si>
  <si>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</si>
  <si>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</si>
  <si>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Tổng 13T</t>
  </si>
  <si>
    <t>A. DÒNG TIỀN VÀO</t>
  </si>
  <si>
    <t>1. Thu từ khách hàng</t>
  </si>
  <si>
    <t>2. Thu khác</t>
  </si>
  <si>
    <t>TỔNG THU (A)</t>
  </si>
  <si>
    <t>B. DÒNG TIỀN RA</t>
  </si>
  <si>
    <t>4. Trả nhà cung cấp</t>
  </si>
  <si>
    <t>5. Chi phí bán hàng &amp; QL</t>
  </si>
  <si>
    <t>6. Trả lãi vay</t>
  </si>
  <si>
    <t>TỔNG CHI (B)</t>
  </si>
  <si>
    <t>C. DÒNG TIỀN THUẦN (A+B)</t>
  </si>
  <si>
    <t>D. SỐ DƯ ĐẦU TUẦN</t>
  </si>
  <si>
    <t>E. SỐ DƯ CUỐI TUẦN (C+D)</t>
  </si>
  <si>
    <t>PHÂN TÍCH NHẠY CẢM (SENSITIVITY ANALYSIS) - Đơn vị: Triệu VND</t>
  </si>
  <si>
    <t>BẢNG 1: LNST NĂM 2024 theo Tăng trưởng Doanh thu &amp; Biên Lợi nhuận Gộp</t>
  </si>
  <si>
    <t>Biên GP →
Tăng trưởng ↓</t>
  </si>
  <si>
    <t>Ghi chú: Ô xanh đậm = Base Case. Đỏ = LNST thấp (&lt;500). Vàng = LNST trung bình. Xanh lá = LNST cao (&gt;4,000).</t>
  </si>
  <si>
    <t>BẢNG 2: EBITDA NĂM 2024 theo Tăng trưởng Doanh thu &amp; Tỷ lệ Chi phí SGA</t>
  </si>
  <si>
    <t>SGA/DT →
Tăng trưởng ↓</t>
  </si>
  <si>
    <t>Ghi chú: Biên GP cố định 40%. Ô xanh đậm = Base Case (tăng trưởng 15%, SGA 18%).</t>
  </si>
  <si>
    <t>BẢNG 3: ROE (%) theo Tăng trưởng Doanh thu &amp; Tỷ lệ Nợ/Vốn chủ (D/E)</t>
  </si>
  <si>
    <t>D/E Ratio →
Tăng trưởng ↓</t>
  </si>
  <si>
    <t>Ghi chú: VCSH cố định 12,880 triệu. Lãi suất vay 6%/năm. Ô xanh đậm = Base Case (tăng trưởng 15%, D/E=0.5x).</t>
  </si>
  <si>
    <t>BẢNG 4: PHÂN TÍCH ĐIỂM HÒA VỐN (BREAK-EVEN ANALYSIS)</t>
  </si>
  <si>
    <t>Công thức</t>
  </si>
  <si>
    <t>Chi phí cố định (Fixed Cost)</t>
  </si>
  <si>
    <t>KH + Lãi vay</t>
  </si>
  <si>
    <t>Khấu hao 500 + Lãi vay 300</t>
  </si>
  <si>
    <t>Tỷ lệ biến phí (Variable Cost %)</t>
  </si>
  <si>
    <t>COGS + SGA</t>
  </si>
  <si>
    <t>60% COGS + 18% SGA</t>
  </si>
  <si>
    <t>Biên đóng góp (Contribution Margin)</t>
  </si>
  <si>
    <t>1 - Variable%</t>
  </si>
  <si>
    <t>Mỗi đồng DT đóng góp 22%</t>
  </si>
  <si>
    <t>Doanh thu hòa vốn (Break-even Rev)</t>
  </si>
  <si>
    <t>FC / CM%</t>
  </si>
  <si>
    <t>Cần đạt để EBIT = 0</t>
  </si>
  <si>
    <t>% so với DT kế hoạch</t>
  </si>
  <si>
    <t>BE/DT kế hoạch</t>
  </si>
  <si>
    <t>Margin of Safety = 81.8%</t>
  </si>
  <si>
    <t>Margin of Safety</t>
  </si>
  <si>
    <t>1 - BE%</t>
  </si>
  <si>
    <t>Khoảng đệm an toàn</t>
  </si>
  <si>
    <t>Operating Leverage</t>
  </si>
  <si>
    <t>CM / EBIT</t>
  </si>
  <si>
    <t>Độ nhạy EBIT với DT</t>
  </si>
  <si>
    <t>PHÂN TÍCH KỊCH BẢN (SCENARIO ANALYSIS) - Đơn vị: Triệu VND</t>
  </si>
  <si>
    <t>I. GIẢ ĐỊNH THEO KỊCH BẢN (Tối ưu hóa)</t>
  </si>
  <si>
    <t>Giả định</t>
  </si>
  <si>
    <t>Bear Case
(Bi quan)</t>
  </si>
  <si>
    <t>vs Base</t>
  </si>
  <si>
    <t>Base Case
(Cơ sở)</t>
  </si>
  <si>
    <t>Bull Case
(Lạc quan)</t>
  </si>
  <si>
    <t>Tăng trưởng doanh thu</t>
  </si>
  <si>
    <t>Bear: suy thoái; Bull: bùng nổ</t>
  </si>
  <si>
    <t>Biên lợi nhuận gộp</t>
  </si>
  <si>
    <t>Bear: áp lực giá; Bull: mix tốt</t>
  </si>
  <si>
    <t>Chi phí bán hàng/DT</t>
  </si>
  <si>
    <t>Bear: tăng chi phí; Bull: hiệu quả</t>
  </si>
  <si>
    <t>Chi phí quản lý/DT</t>
  </si>
  <si>
    <t>Bear: overhead cao; Bull: tối ưu</t>
  </si>
  <si>
    <t>Tỷ lệ thu hồi công nợ</t>
  </si>
  <si>
    <t>Bear: khó thu; Bull: thu nhanh</t>
  </si>
  <si>
    <t>II. KẾT QUẢ DỰ BÁO THEO KỊCH BẢN (Năm 2024)</t>
  </si>
  <si>
    <t>Doanh thu thuần</t>
  </si>
  <si>
    <t>LNST (ước tính)</t>
  </si>
  <si>
    <t>III. TÓM TẮT &amp; KHUYẾN NGHỊ CHIẾN LƯỢC</t>
  </si>
  <si>
    <t>🐻 Bear Case</t>
  </si>
  <si>
    <t>Tăng trưởng 5%, biên GP 33%. Ưu tiên: cắt giảm chi phí, bảo toàn tiền mặt, đàm phán lại với nhà cung cấp.</t>
  </si>
  <si>
    <t>📊 Base Case</t>
  </si>
  <si>
    <t>Tăng trưởng 15%, biên GP 40%. Duy trì chiến lược hiện tại, tối ưu hóa vận hành.</t>
  </si>
  <si>
    <t>🚀 Bull Case</t>
  </si>
  <si>
    <t>Tăng trưởng 28%, biên GP 47%. Đầu tư mở rộng, tuyển dụng, tăng CapEx để nắm bắt cơ hội.</t>
  </si>
  <si>
    <t>IV. SO SÁNH KPI HIỆU QUẢ 3 KỊCH BẢN</t>
  </si>
  <si>
    <t>Bear vs Base</t>
  </si>
  <si>
    <t>Bull vs Base</t>
  </si>
  <si>
    <t>Tốt nhất</t>
  </si>
  <si>
    <t>Biên GP</t>
  </si>
  <si>
    <t>PHÂN TÍCH MONTE CARLO (1,000 KỊCH BẢN) - Đơn vị: Triệu VND</t>
  </si>
  <si>
    <t>I. GIẢ ĐỊNH PHÂN PHỐI XÁC SUẤT</t>
  </si>
  <si>
    <t>Biến số</t>
  </si>
  <si>
    <t>Phân phối</t>
  </si>
  <si>
    <t>Mean</t>
  </si>
  <si>
    <t>Std Dev</t>
  </si>
  <si>
    <t>Min clip</t>
  </si>
  <si>
    <t>Max clip</t>
  </si>
  <si>
    <t>Normal</t>
  </si>
  <si>
    <t>15%</t>
  </si>
  <si>
    <t>8%→12%*</t>
  </si>
  <si>
    <t>-30%</t>
  </si>
  <si>
    <t>60%</t>
  </si>
  <si>
    <t>*Std tăng dần theo năm</t>
  </si>
  <si>
    <t>Biên lợi nhuận gộp (GP)</t>
  </si>
  <si>
    <t>40%</t>
  </si>
  <si>
    <t>5%</t>
  </si>
  <si>
    <t>10%</t>
  </si>
  <si>
    <t>70%</t>
  </si>
  <si>
    <t>Biến động giá bán/NVL</t>
  </si>
  <si>
    <t>Chi phí SGA/DT</t>
  </si>
  <si>
    <t>18%</t>
  </si>
  <si>
    <t>3%</t>
  </si>
  <si>
    <t>Biến động chi phí vận hành</t>
  </si>
  <si>
    <t>Khấu hao (D&amp;A)</t>
  </si>
  <si>
    <t>Fixed</t>
  </si>
  <si>
    <t>500</t>
  </si>
  <si>
    <t>Cố định theo kế hoạch CapEx</t>
  </si>
  <si>
    <t>Chi phí lãi vay</t>
  </si>
  <si>
    <t>300</t>
  </si>
  <si>
    <t>Cố định theo hợp đồng vay</t>
  </si>
  <si>
    <t>Thuế suất TNDN</t>
  </si>
  <si>
    <t>20%</t>
  </si>
  <si>
    <t>Theo quy định pháp luật</t>
  </si>
  <si>
    <t>II. KẾT QUẢ MÔ PHỎNG - LNST (Triệu VND)</t>
  </si>
  <si>
    <t>Trung bình (Mean)</t>
  </si>
  <si>
    <t>Trung vị (Median)</t>
  </si>
  <si>
    <t>Độ lệch chuẩn (Std)</t>
  </si>
  <si>
    <t>Percentile 5% (P5)</t>
  </si>
  <si>
    <t>Percentile 25% (P25)</t>
  </si>
  <si>
    <t>Percentile 75% (P75)</t>
  </si>
  <si>
    <t>Percentile 95% (P95)</t>
  </si>
  <si>
    <t>VaR 95% (Worst 5%)</t>
  </si>
  <si>
    <t>VaR 99% (Worst 1%)</t>
  </si>
  <si>
    <t>Giá trị nhỏ nhất</t>
  </si>
  <si>
    <t>Giá trị lớn nhất</t>
  </si>
  <si>
    <t>III. XÁC SUẤT ĐẠT MỤC TIÊU LNST</t>
  </si>
  <si>
    <t>Xác suất đạt</t>
  </si>
  <si>
    <t>Margin vs Target</t>
  </si>
  <si>
    <t>✅ Tốt</t>
  </si>
  <si>
    <t>IV. PHÂN TÍCH ROE vs WACC (WACC = 9.7%)</t>
  </si>
  <si>
    <t>ROE Mean</t>
  </si>
  <si>
    <t>ROE P5</t>
  </si>
  <si>
    <t>ROE P95</t>
  </si>
  <si>
    <t>WACC</t>
  </si>
  <si>
    <t>Spread (ROE-WACC)</t>
  </si>
  <si>
    <t>EVA Signal</t>
  </si>
  <si>
    <t>Xác suất ROE&gt;WACC</t>
  </si>
  <si>
    <t>🟢 Tạo giá trị</t>
  </si>
  <si>
    <t>V. PHÂN PHỐI LNST NĂM 2024 (Histogram Data)</t>
  </si>
  <si>
    <t>Khoảng LNST</t>
  </si>
  <si>
    <t>Số kịch bản</t>
  </si>
  <si>
    <t>Tỷ lệ (%)</t>
  </si>
  <si>
    <t>0 – 570</t>
  </si>
  <si>
    <t>570 – 1,140</t>
  </si>
  <si>
    <t>1,140 – 1,710</t>
  </si>
  <si>
    <t>1,710 – 2,280</t>
  </si>
  <si>
    <t>2,280 – 2,850</t>
  </si>
  <si>
    <t>2,850 – 3,420</t>
  </si>
  <si>
    <t>3,420 – 3,990</t>
  </si>
  <si>
    <t>3,990 – 4,560</t>
  </si>
  <si>
    <t>4,560 – 5,130</t>
  </si>
  <si>
    <t>5,130 – 5,700</t>
  </si>
  <si>
    <t>5,700 – 6,270</t>
  </si>
  <si>
    <t>6,270 – 6,841</t>
  </si>
  <si>
    <t>VI. TỐI ƯU HÓA: MÔ PHỎNG CÓ TƯƠNG QUAN (CORRELATED SIMULATION)</t>
  </si>
  <si>
    <t>Ma trận tương quan: Growth↔GP=+0.30 | Growth↔SGA=-0.20 | GP↔SGA=-0.15 | Phương pháp: Cholesky Decomposition | N=1,000</t>
  </si>
  <si>
    <t>Bear P5</t>
  </si>
  <si>
    <t>Bear Mean</t>
  </si>
  <si>
    <t>Bear P95</t>
  </si>
  <si>
    <t>Base P5</t>
  </si>
  <si>
    <t>Base Mean</t>
  </si>
  <si>
    <t>Base P95</t>
  </si>
  <si>
    <t>Bull P5</t>
  </si>
  <si>
    <t>Bull Mean</t>
  </si>
  <si>
    <t>Bull P95</t>
  </si>
  <si>
    <t>Doanh thu 2024</t>
  </si>
  <si>
    <t>LNST 2024</t>
  </si>
  <si>
    <t>EBITDA 2024</t>
  </si>
  <si>
    <t>ROE 2024</t>
  </si>
  <si>
    <t>LNST 2025</t>
  </si>
  <si>
    <t>LNST 2026</t>
  </si>
  <si>
    <t>LNST 2027</t>
  </si>
  <si>
    <t>LNST 2028</t>
  </si>
  <si>
    <t>VII. SO SÁNH ROE vs WACC THEO KỊCH BẢN (WACC = 9.66%)</t>
  </si>
  <si>
    <t>Bear ROE</t>
  </si>
  <si>
    <t>Base ROE</t>
  </si>
  <si>
    <t>Bull ROE</t>
  </si>
  <si>
    <t>Bear Spread</t>
  </si>
  <si>
    <t>Base Spread</t>
  </si>
  <si>
    <t>Bull Spread</t>
  </si>
  <si>
    <t>P(ROE&gt;WACC) Bear</t>
  </si>
  <si>
    <t>P(ROE&gt;WACC) Base</t>
  </si>
  <si>
    <t>P(ROE&gt;WACC) Bull</t>
  </si>
  <si>
    <t>VIII. MA TRẬN TƯƠNG QUAN TỐI ƯU (CHOLESKY DECOMPOSITION)</t>
  </si>
  <si>
    <t>N=2,000 simulations | Eigenvalues: [1.706, 0.532, 0.762] — Tất cả &gt; 0 ✅ | WACC = 9.66%</t>
  </si>
  <si>
    <t>Chi phí SGA</t>
  </si>
  <si>
    <t>Giải thích tương quan:</t>
  </si>
  <si>
    <t>ρ(Tăng trưởng DT, Biên GP) = 0.45</t>
  </si>
  <si>
    <t>Tăng trưởng cao → GP tốt hơn (economies of scale)</t>
  </si>
  <si>
    <t>ρ(Tăng trưởng DT, Chi phí SGA) = -0.35</t>
  </si>
  <si>
    <t>Tăng trưởng cao → SGA/DT thấp (fixed cost dilution)</t>
  </si>
  <si>
    <t>ρ(Biên GP, Chi phí SGA) = -0.25</t>
  </si>
  <si>
    <t>GP cao → SGA thấp (pricing power)</t>
  </si>
  <si>
    <t>IX. ĐIỂM BẺ GÃY RỦI RO — g* sao cho P(LNST ≥ Mục tiêu) = 50%</t>
  </si>
  <si>
    <t>Ý nghĩa: Nếu tăng trưởng DT thực tế &lt; g*, xác suất đạt mục tiêu LNST &lt; 50% → Cần hành động ngay</t>
  </si>
  <si>
    <t>g* (Điểm bẻ gãy)</t>
  </si>
  <si>
    <t>Khoảng cách Bear-Bull</t>
  </si>
  <si>
    <t>Đánh giá rủi ro</t>
  </si>
  <si>
    <t>Hành động nếu g &lt; g*</t>
  </si>
  <si>
    <t>🟢 Thấp (g* âm)</t>
  </si>
  <si>
    <t>Duy trì chiến lược hiện tại</t>
  </si>
  <si>
    <t>🟡 Trung bình</t>
  </si>
  <si>
    <t>Theo dõi sát tăng trưởng Q1-Q2</t>
  </si>
  <si>
    <t>🔴 Cao (g* cao)</t>
  </si>
  <si>
    <t>Cần đột phá doanh thu hoặc cắt chi phí</t>
  </si>
  <si>
    <t>X. PHÂN TÍCH CHI TIẾT BEAR vs BULL — KHOẢNG CÁCH RỦI RO</t>
  </si>
  <si>
    <t>Gap Mean</t>
  </si>
  <si>
    <t>P(Bear≥target)</t>
  </si>
  <si>
    <t>P(Bull≥target)</t>
  </si>
  <si>
    <t>XI. WACC ĐỘNG — CẤU TRÚC VỐN TỐI ƯU (HAMADA EQUATION + DISTRESS COST)</t>
  </si>
  <si>
    <t>Rf = 4.5% (Lãi suất phi rủi ro — Trái phiếu CP VN 10Y)</t>
  </si>
  <si>
    <t>ERP = 6.5% (Equity Risk Premium VN)</t>
  </si>
  <si>
    <t>β unlevered = 0.85 (Beta không đòn bẩy — ngành FMCG)</t>
  </si>
  <si>
    <t>Size Premium = 2.0% | Kd = 6.0% (Chi phí nợ vay)</t>
  </si>
  <si>
    <t>D/E hiện tại = 0.48x → WACC = 11.11% | D/E tối ưu = 0.81x → WACC tối ưu = 10.99%</t>
  </si>
  <si>
    <t>β Levered</t>
  </si>
  <si>
    <t>Ke (CAPM)</t>
  </si>
  <si>
    <t>Kd (adj)</t>
  </si>
  <si>
    <t>Tỷ trọng Nợ</t>
  </si>
  <si>
    <t>Tỷ trọng VCP</t>
  </si>
  <si>
    <t>vs Hiện tại</t>
  </si>
  <si>
    <t>vs Tối ưu</t>
  </si>
  <si>
    <t>❌ Kém hơn</t>
  </si>
  <si>
    <t>📍 Hiện tại</t>
  </si>
  <si>
    <t>⭐ Tối ưu</t>
  </si>
  <si>
    <t>✅ Tốt hơn</t>
  </si>
  <si>
    <t>XII. PHÂN TÍCH ĐỘ LỆCH CHUẨN RỦI RO — BEAR vs BASE vs BULL</t>
  </si>
  <si>
    <t>CV = Coefficient of Variation = Std/Mean (đo lường rủi ro tương đối). CV cao = rủi ro cao hơn so với kỳ vọng.</t>
  </si>
  <si>
    <t>CV (%)</t>
  </si>
  <si>
    <t>P5 (VaR95)</t>
  </si>
  <si>
    <t>P25</t>
  </si>
  <si>
    <t>P75</t>
  </si>
  <si>
    <t>P95</t>
  </si>
  <si>
    <t>Skewness</t>
  </si>
  <si>
    <t>P(≥target)</t>
  </si>
  <si>
    <t>Bear Std</t>
  </si>
  <si>
    <t>Base Std</t>
  </si>
  <si>
    <t>Bull Std</t>
  </si>
  <si>
    <t>Bear CV</t>
  </si>
  <si>
    <t>Base CV</t>
  </si>
  <si>
    <t>Bull CV</t>
  </si>
  <si>
    <t>XIII. CẤU TRÚC VỐN TỐI ƯU THEO NGÀNH — BENCHMARK D/E &amp; WACC (VN 2023-2024)</t>
  </si>
  <si>
    <t>D/E hiện tại của doanh nghiệp = 0.48x | Nguồn: HOSE/HNX 2023-2024 | Rf=4.5% | ERP=6.5% | Size Premium=2.0%</t>
  </si>
  <si>
    <t>D/E P25</t>
  </si>
  <si>
    <t>D/E Median</t>
  </si>
  <si>
    <t>D/E P75</t>
  </si>
  <si>
    <t>WACC P25</t>
  </si>
  <si>
    <t>WACC Median</t>
  </si>
  <si>
    <t>WACC P75</t>
  </si>
  <si>
    <t>WACC tại D/E hiện tại</t>
  </si>
  <si>
    <t>Vị trí D/E</t>
  </si>
  <si>
    <t>Khoảng cách vs Median</t>
  </si>
  <si>
    <t>Công nghệ / Phần mềm</t>
  </si>
  <si>
    <t>Trên P75 (Tích cực)</t>
  </si>
  <si>
    <t>Bất động sản</t>
  </si>
  <si>
    <t>Ngân hàng / Tài chính</t>
  </si>
  <si>
    <t>💡 Khuyến nghị: D/E hiện tại 0.48x nằm trong vùng Bảo thủ so với ngành FMCG (median 0.45x). Có thể tăng đòn bẩy lên 0.45-0.80x để tối ưu WACC mà không tăng rủi ro đáng kể.</t>
  </si>
  <si>
    <t>XIV. PHÂN TÍCH VaR &amp; TAIL RISK — 2,000 SIMULATIONS (Base Case)</t>
  </si>
  <si>
    <t>VaR = Value at Risk (mức tổn thất tối đa tại mức tin cậy X%). CVaR = Conditional VaR = trung bình tổn thất khi vượt VaR.</t>
  </si>
  <si>
    <t>LNST Mean (kỳ vọng)</t>
  </si>
  <si>
    <t>📈 Tăng</t>
  </si>
  <si>
    <t>VaR 90% (mất tối đa 10%)</t>
  </si>
  <si>
    <t>VaR 95% (mất tối đa 5%)</t>
  </si>
  <si>
    <t>VaR 99% (mất tối đa 1%)</t>
  </si>
  <si>
    <t>CVaR 90% (Expected Shortfall)</t>
  </si>
  <si>
    <t>CVaR 95% (Expected Shortfall)</t>
  </si>
  <si>
    <t>CVaR 99% (Expected Shortfall)</t>
  </si>
  <si>
    <t>Max Loss từ Mean (Downside)</t>
  </si>
  <si>
    <t>Max Gain từ Mean (Upside)</t>
  </si>
  <si>
    <t>Tail Ratio (P95/P5)</t>
  </si>
  <si>
    <t>Stress Test LNST (-20% DT)</t>
  </si>
  <si>
    <t>➡️ Ổn định</t>
  </si>
  <si>
    <t>Xác suất đạt mục tiêu</t>
  </si>
  <si>
    <t>XV. SO SÁNH WACC TỐI ƯU THEO NGÀNH — CAPM + HAMADA + DISTRESS COST</t>
  </si>
  <si>
    <t>Rf=4.5% | ERP=6.5% | Size Premium=2.0% | Kd base=6.0% | D/E hiện tại=0.48x | Tổng vốn=19,080 triệu VND</t>
  </si>
  <si>
    <t>Ke Tối ưu</t>
  </si>
  <si>
    <t>Kd Tối ưu</t>
  </si>
  <si>
    <t>Tiết kiệm WACC</t>
  </si>
  <si>
    <t>EVA Impact (tr.VND/năm)</t>
  </si>
  <si>
    <t>⚠️ Giảm đòn bẩy</t>
  </si>
  <si>
    <t>XVI. NGƯỠNG VaR KÍCH HOẠT HÀNH ĐỘNG QUẢN TRỊ (GOVERNANCE TRIGGER FRAMEWORK)</t>
  </si>
  <si>
    <t>VaR 95% hiện tại = 1,287 triệu VND | Mean = 3,399 | Tỷ lệ VaR/Mean = 37.9% | CVaR 95% = 838</t>
  </si>
  <si>
    <t>Mức cảnh báo</t>
  </si>
  <si>
    <t>Điều kiện kích hoạt</t>
  </si>
  <si>
    <t>VaR/Mean Ngưỡng</t>
  </si>
  <si>
    <t>VaR Tuyệt đối (tr.VND)</t>
  </si>
  <si>
    <t>Trạng thái Hiện tại</t>
  </si>
  <si>
    <t>Hành động 1</t>
  </si>
  <si>
    <t>Hành động 2</t>
  </si>
  <si>
    <t>Hành động 3</t>
  </si>
  <si>
    <t>Theo dõi KPI</t>
  </si>
  <si>
    <t>Không cần hành động đặc biệt</t>
  </si>
  <si>
    <t>Rà soát ngân sách</t>
  </si>
  <si>
    <t>Tăng tần suất báo cáo lên 2 tuần/lần</t>
  </si>
  <si>
    <t>Cắt giảm chi phí không thiết yếu</t>
  </si>
  <si>
    <t>Đàm phán lại điều khoản vay</t>
  </si>
  <si>
    <t>Tái cơ cấu tài chính</t>
  </si>
  <si>
    <t>Xem xét tăng vốn hoặc bán tài sản</t>
  </si>
  <si>
    <t>XVII. STRESS TEST CẤU TRÚC VỐN KHI LÃI SUẤT THAY ĐỔI</t>
  </si>
  <si>
    <t>D/E hiện tại=0.48x | Nợ=6,200 triệu VND | Kd base=6.0% | Lãi vay base=372 triệu VND/năm</t>
  </si>
  <si>
    <t>Kịch bản lãi suất</t>
  </si>
  <si>
    <t>Rf mới</t>
  </si>
  <si>
    <t>Lãi vay (tr.VND)</t>
  </si>
  <si>
    <t>ΔWACC</t>
  </si>
  <si>
    <t>EVA (tr.VND)</t>
  </si>
  <si>
    <t>🟢 Tạo giá trị cao</t>
  </si>
  <si>
    <t>🟡 Tạo giá trị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</si>
</sst>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0.0\x"/>
    <numFmt numFmtId="166" formatCode="0.00\x"/>
    <numFmt numFmtId="167" formatCode="\+0.0%;\-0.0%;\-"/>
    <numFmt numFmtId="168" formatCode="0&quot; chỉ số&quot;"/>
    <numFmt numFmtId="169" formatCode="0.000"/>
    <numFmt numFmtId="170" formatCode="\+0.00\x;\-0.00\x;\-"/>
    <numFmt numFmtId="171" formatCode="\+#,##0;\-#,##0;\-"/>
  </numFmts>
  <fonts count="30" x14ac:knownFonts="1">
    <font>
      <sz val="11"/>
      <color theme="1"/>
      <name val="Calibri"/>
      <family val="2"/>
      <charset val="1"/>
    </font>
    <font>
      <sz val="11"/>
      <color rgb="FFFFFFFF"/>
      <name val="Cambria"/>
      <charset val="1"/>
    </font>
    <font>
      <b/>
      <sz val="11"/>
      <color rgb="FFFFFFFF"/>
      <name val="Cambria"/>
      <charset val="1"/>
    </font>
    <font>
      <sz val="11"/>
      <color rgb="FF000000"/>
      <name val="Cambria"/>
      <charset val="1"/>
    </font>
    <font>
      <b/>
      <sz val="11"/>
      <color rgb="FF0000FF"/>
      <name val="Cambria"/>
      <charset val="1"/>
    </font>
    <font>
      <sz val="11"/>
      <color rgb="FF0000FF"/>
      <name val="Cambria"/>
      <charset val="1"/>
    </font>
    <font>
      <i/>
      <sz val="9"/>
      <color rgb="FF595959"/>
      <name val="Cambria"/>
      <charset val="1"/>
    </font>
    <font>
      <b/>
      <sz val="11"/>
      <color rgb="FFFFFFFF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i/>
      <sz val="11"/>
      <color rgb="FF595959"/>
      <name val="Calibri"/>
      <charset val="1"/>
    </font>
    <font>
      <b/>
      <sz val="11"/>
      <color rgb="FF1F4E79"/>
      <name val="Cambria"/>
      <charset val="1"/>
    </font>
    <font>
      <i/>
      <sz val="11"/>
      <color rgb="FF404040"/>
      <name val="Cambria"/>
      <charset val="1"/>
    </font>
    <font>
      <b/>
      <sz val="11"/>
      <color rgb="FF9C5700"/>
      <name val="Cambria"/>
      <charset val="1"/>
    </font>
    <font>
      <sz val="11"/>
      <color rgb="FF9C0006"/>
      <name val="Calibri"/>
      <charset val="1"/>
    </font>
    <font>
      <sz val="11"/>
      <color rgb="FF9C5700"/>
      <name val="Calibri"/>
      <charset val="1"/>
    </font>
    <font>
      <sz val="11"/>
      <color rgb="FF276221"/>
      <name val="Calibri"/>
      <charset val="1"/>
    </font>
    <font>
      <b/>
      <sz val="12"/>
      <color rgb="FFFFFFFF"/>
      <name val="Calibri"/>
      <charset val="1"/>
    </font>
    <font>
      <b/>
      <sz val="11"/>
      <color rgb="FF9C0006"/>
      <name val="Calibri"/>
      <charset val="1"/>
    </font>
    <font>
      <b/>
      <sz val="11"/>
      <color rgb="FF276221"/>
      <name val="Calibri"/>
      <charset val="1"/>
    </font>
    <font>
      <i/>
      <sz val="9"/>
      <color rgb="FF1F4E79"/>
      <name val="Calibri"/>
      <charset val="1"/>
    </font>
    <font>
      <b/>
      <sz val="11"/>
      <color rgb="FF9C5700"/>
      <name val="Calibri"/>
      <charset val="1"/>
    </font>
    <font>
      <sz val="11"/>
      <color rgb="FFFFFFFF"/>
      <name val="Calibri"/>
      <charset val="1"/>
    </font>
    <font>
      <b/>
      <sz val="14"/>
      <color rgb="FFFFFFFF"/>
      <name val="Calibri"/>
      <charset val="1"/>
    </font>
    <font>
      <i/>
      <sz val="11"/>
      <color rgb="FF1F4E79"/>
      <name val="Calibri"/>
      <charset val="1"/>
    </font>
    <font>
      <b/>
      <sz val="11"/>
      <color rgb="FF1F4E79"/>
      <name val="Calibri"/>
      <charset val="1"/>
    </font>
    <font>
      <i/>
      <sz val="9"/>
      <color rgb="FF595959"/>
      <name val="Calibri"/>
      <charset val="1"/>
    </font>
    <font>
      <sz val="11"/>
      <color rgb="FF1F4E79"/>
      <name val="Calibri"/>
      <charset val="1"/>
    </font>
    <font>
      <i/>
      <sz val="9"/>
      <color rgb="FF9C5700"/>
      <name val="Calibri"/>
      <charset val="1"/>
    </font>
    <font>
      <i/>
      <sz val="9"/>
      <color rgb="FF276221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1F4E79"/>
        <bgColor rgb="FF404040"/>
      </patternFill>
    </fill>
    <fill>
      <patternFill patternType="solid">
        <fgColor rgb="FFC00000"/>
        <bgColor rgb="FF9C0006"/>
      </patternFill>
    </fill>
    <fill>
      <patternFill patternType="solid">
        <fgColor rgb="FF404040"/>
        <bgColor rgb="FF375623"/>
      </patternFill>
    </fill>
    <fill>
      <patternFill patternType="solid">
        <fgColor rgb="FFD6E4F0"/>
        <bgColor rgb="FFD9D9D9"/>
      </patternFill>
    </fill>
    <fill>
      <patternFill patternType="solid">
        <fgColor rgb="FFFFEB9C"/>
        <bgColor rgb="FFF2F2F2"/>
      </patternFill>
    </fill>
    <fill>
      <patternFill patternType="solid">
        <fgColor rgb="FFFFC7CE"/>
        <bgColor rgb="FFD9D9D9"/>
      </patternFill>
    </fill>
    <fill>
      <patternFill patternType="solid">
        <fgColor rgb="FFC6EFCE"/>
        <bgColor rgb="FFD6E4F0"/>
      </patternFill>
    </fill>
    <fill>
      <patternFill patternType="solid">
        <fgColor rgb="FFF2F2F2"/>
        <bgColor rgb="FFFFFFFF"/>
      </patternFill>
    </fill>
    <fill>
      <patternFill patternType="solid">
        <fgColor rgb="FF0070C0"/>
        <bgColor rgb="FF008080"/>
      </patternFill>
    </fill>
    <fill>
      <patternFill patternType="solid">
        <fgColor rgb="FFFF9900"/>
        <bgColor rgb="FFF79646"/>
      </patternFill>
    </fill>
    <fill>
      <patternFill patternType="solid">
        <fgColor rgb="FF375623"/>
        <bgColor rgb="FF2762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7" fillId="0" borderId="1" xfId="0" applyFont="1" applyBorder="1" applyAlignment="1">
      <alignment horizontal="left" vertical="center"/>
    </xf>
    <xf numFmtId="0" fontId="27" fillId="5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64" fontId="5" fillId="0" borderId="1" xfId="0" applyNumberFormat="1" applyFont="1" applyBorder="1"/>
    <xf numFmtId="3" fontId="5" fillId="0" borderId="1" xfId="0" applyNumberFormat="1" applyFont="1" applyBorder="1"/>
    <xf numFmtId="0" fontId="0" fillId="0" borderId="1" xfId="0" applyBorder="1"/>
    <xf numFmtId="0" fontId="6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3" fontId="3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5" borderId="1" xfId="0" applyFont="1" applyFill="1" applyBorder="1"/>
    <xf numFmtId="3" fontId="11" fillId="5" borderId="1" xfId="0" applyNumberFormat="1" applyFont="1" applyFill="1" applyBorder="1"/>
    <xf numFmtId="0" fontId="12" fillId="0" borderId="1" xfId="0" applyFont="1" applyBorder="1"/>
    <xf numFmtId="164" fontId="12" fillId="0" borderId="1" xfId="0" applyNumberFormat="1" applyFon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4" borderId="1" xfId="0" applyFont="1" applyFill="1" applyBorder="1"/>
    <xf numFmtId="3" fontId="0" fillId="0" borderId="1" xfId="0" applyNumberFormat="1" applyBorder="1"/>
    <xf numFmtId="0" fontId="13" fillId="6" borderId="1" xfId="0" applyFont="1" applyFill="1" applyBorder="1"/>
    <xf numFmtId="3" fontId="13" fillId="6" borderId="1" xfId="0" applyNumberFormat="1" applyFont="1" applyFill="1" applyBorder="1"/>
    <xf numFmtId="164" fontId="0" fillId="0" borderId="1" xfId="0" applyNumberFormat="1" applyBorder="1"/>
    <xf numFmtId="165" fontId="0" fillId="0" borderId="1" xfId="0" applyNumberFormat="1" applyBorder="1"/>
    <xf numFmtId="0" fontId="7" fillId="4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left" vertical="center"/>
    </xf>
    <xf numFmtId="3" fontId="14" fillId="7" borderId="1" xfId="0" applyNumberFormat="1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3" fontId="15" fillId="6" borderId="1" xfId="0" applyNumberFormat="1" applyFont="1" applyFill="1" applyBorder="1" applyAlignment="1">
      <alignment horizontal="left" vertical="center"/>
    </xf>
    <xf numFmtId="0" fontId="16" fillId="8" borderId="1" xfId="0" applyFont="1" applyFill="1" applyBorder="1" applyAlignment="1">
      <alignment horizontal="left" vertical="center"/>
    </xf>
    <xf numFmtId="3" fontId="16" fillId="8" borderId="1" xfId="0" applyNumberFormat="1" applyFont="1" applyFill="1" applyBorder="1" applyAlignment="1">
      <alignment horizontal="left" vertical="center"/>
    </xf>
    <xf numFmtId="3" fontId="0" fillId="0" borderId="0" xfId="0" applyNumberFormat="1"/>
    <xf numFmtId="164" fontId="0" fillId="0" borderId="0" xfId="0" applyNumberFormat="1"/>
    <xf numFmtId="0" fontId="9" fillId="9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3" fontId="9" fillId="9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/>
    </xf>
    <xf numFmtId="3" fontId="18" fillId="7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3" fontId="19" fillId="8" borderId="1" xfId="0" applyNumberFormat="1" applyFont="1" applyFill="1" applyBorder="1" applyAlignment="1">
      <alignment horizontal="center" vertical="center"/>
    </xf>
    <xf numFmtId="167" fontId="9" fillId="9" borderId="1" xfId="0" applyNumberFormat="1" applyFont="1" applyFill="1" applyBorder="1" applyAlignment="1">
      <alignment horizontal="center" vertical="center"/>
    </xf>
    <xf numFmtId="164" fontId="7" fillId="10" borderId="1" xfId="0" applyNumberFormat="1" applyFont="1" applyFill="1" applyBorder="1" applyAlignment="1">
      <alignment horizontal="center" vertical="center"/>
    </xf>
    <xf numFmtId="3" fontId="7" fillId="10" borderId="1" xfId="0" applyNumberFormat="1" applyFont="1" applyFill="1" applyBorder="1" applyAlignment="1">
      <alignment horizontal="center" vertical="center"/>
    </xf>
    <xf numFmtId="166" fontId="7" fillId="10" borderId="1" xfId="0" applyNumberFormat="1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/>
    </xf>
    <xf numFmtId="3" fontId="14" fillId="7" borderId="1" xfId="0" applyNumberFormat="1" applyFont="1" applyFill="1" applyBorder="1" applyAlignment="1">
      <alignment horizontal="center" vertical="center"/>
    </xf>
    <xf numFmtId="166" fontId="8" fillId="9" borderId="1" xfId="0" applyNumberFormat="1" applyFont="1" applyFill="1" applyBorder="1" applyAlignment="1">
      <alignment horizontal="center" vertical="center"/>
    </xf>
    <xf numFmtId="166" fontId="16" fillId="8" borderId="1" xfId="0" applyNumberFormat="1" applyFont="1" applyFill="1" applyBorder="1" applyAlignment="1">
      <alignment horizontal="center" vertical="center"/>
    </xf>
    <xf numFmtId="166" fontId="14" fillId="7" borderId="1" xfId="0" applyNumberFormat="1" applyFont="1" applyFill="1" applyBorder="1" applyAlignment="1">
      <alignment horizontal="center" vertical="center"/>
    </xf>
    <xf numFmtId="168" fontId="19" fillId="8" borderId="1" xfId="0" applyNumberFormat="1" applyFont="1" applyFill="1" applyBorder="1" applyAlignment="1">
      <alignment horizontal="center" vertical="center"/>
    </xf>
    <xf numFmtId="168" fontId="21" fillId="6" borderId="1" xfId="0" applyNumberFormat="1" applyFont="1" applyFill="1" applyBorder="1" applyAlignment="1">
      <alignment horizontal="center" vertical="center"/>
    </xf>
    <xf numFmtId="168" fontId="18" fillId="7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64" fontId="18" fillId="7" borderId="1" xfId="0" applyNumberFormat="1" applyFont="1" applyFill="1" applyBorder="1" applyAlignment="1">
      <alignment horizontal="center" vertical="center"/>
    </xf>
    <xf numFmtId="164" fontId="21" fillId="6" borderId="1" xfId="0" applyNumberFormat="1" applyFont="1" applyFill="1" applyBorder="1" applyAlignment="1">
      <alignment horizontal="center" vertical="center"/>
    </xf>
    <xf numFmtId="164" fontId="19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7" fontId="19" fillId="8" borderId="1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167" fontId="18" fillId="7" borderId="1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3" fontId="8" fillId="9" borderId="1" xfId="0" applyNumberFormat="1" applyFont="1" applyFill="1" applyBorder="1" applyAlignment="1">
      <alignment horizontal="center" vertical="center"/>
    </xf>
    <xf numFmtId="166" fontId="9" fillId="9" borderId="1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center"/>
    </xf>
    <xf numFmtId="169" fontId="9" fillId="9" borderId="1" xfId="0" applyNumberFormat="1" applyFont="1" applyFill="1" applyBorder="1" applyAlignment="1">
      <alignment horizontal="center" vertical="center"/>
    </xf>
    <xf numFmtId="170" fontId="21" fillId="6" borderId="1" xfId="0" applyNumberFormat="1" applyFont="1" applyFill="1" applyBorder="1" applyAlignment="1">
      <alignment horizontal="center" vertical="center"/>
    </xf>
    <xf numFmtId="170" fontId="19" fillId="8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3" fontId="21" fillId="6" borderId="1" xfId="0" applyNumberFormat="1" applyFont="1" applyFill="1" applyBorder="1" applyAlignment="1">
      <alignment horizontal="center" vertical="center"/>
    </xf>
    <xf numFmtId="167" fontId="21" fillId="6" borderId="1" xfId="0" applyNumberFormat="1" applyFont="1" applyFill="1" applyBorder="1" applyAlignment="1">
      <alignment horizontal="center" vertical="center"/>
    </xf>
    <xf numFmtId="171" fontId="16" fillId="8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left" vertical="center"/>
    </xf>
    <xf numFmtId="171" fontId="21" fillId="6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71" fontId="9" fillId="9" borderId="1" xfId="0" applyNumberFormat="1" applyFont="1" applyFill="1" applyBorder="1" applyAlignment="1">
      <alignment horizontal="center" vertical="center"/>
    </xf>
    <xf numFmtId="9" fontId="16" fillId="8" borderId="1" xfId="0" applyNumberFormat="1" applyFont="1" applyFill="1" applyBorder="1" applyAlignment="1">
      <alignment horizontal="center" vertical="center"/>
    </xf>
    <xf numFmtId="9" fontId="21" fillId="6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left" vertical="center"/>
    </xf>
    <xf numFmtId="0" fontId="7" fillId="11" borderId="1" xfId="0" applyFont="1" applyFill="1" applyBorder="1" applyAlignment="1">
      <alignment horizontal="center" vertical="center"/>
    </xf>
    <xf numFmtId="9" fontId="22" fillId="11" borderId="1" xfId="0" applyNumberFormat="1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9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/>
    </xf>
    <xf numFmtId="3" fontId="9" fillId="9" borderId="1" xfId="0" applyNumberFormat="1" applyFont="1" applyFill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/>
    </xf>
    <xf numFmtId="0" fontId="25" fillId="5" borderId="1" xfId="0" applyFont="1" applyFill="1" applyBorder="1" applyAlignment="1">
      <alignment horizontal="left" vertical="center"/>
    </xf>
    <xf numFmtId="3" fontId="25" fillId="5" borderId="1" xfId="0" applyNumberFormat="1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left" vertical="center"/>
    </xf>
    <xf numFmtId="3" fontId="21" fillId="6" borderId="1" xfId="0" applyNumberFormat="1" applyFont="1" applyFill="1" applyBorder="1" applyAlignment="1">
      <alignment horizontal="left" vertical="center"/>
    </xf>
    <xf numFmtId="3" fontId="19" fillId="8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/>
    </xf>
    <xf numFmtId="9" fontId="9" fillId="9" borderId="1" xfId="0" applyNumberFormat="1" applyFont="1" applyFill="1" applyBorder="1" applyAlignment="1">
      <alignment horizontal="center" vertical="center"/>
    </xf>
    <xf numFmtId="3" fontId="15" fillId="6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9" fontId="8" fillId="6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3" fontId="7" fillId="12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4" fontId="7" fillId="1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12" borderId="1" xfId="0" applyFont="1" applyFill="1" applyBorder="1" applyAlignment="1">
      <alignment horizontal="left" vertical="center"/>
    </xf>
    <xf numFmtId="171" fontId="9" fillId="0" borderId="1" xfId="0" applyNumberFormat="1" applyFont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3" fontId="9" fillId="8" borderId="1" xfId="0" applyNumberFormat="1" applyFont="1" applyFill="1" applyBorder="1" applyAlignment="1">
      <alignment horizontal="center" vertical="center"/>
    </xf>
    <xf numFmtId="167" fontId="16" fillId="8" borderId="1" xfId="0" applyNumberFormat="1" applyFont="1" applyFill="1" applyBorder="1" applyAlignment="1">
      <alignment horizontal="center" vertical="center"/>
    </xf>
    <xf numFmtId="3" fontId="9" fillId="7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3" fontId="14" fillId="9" borderId="1" xfId="0" applyNumberFormat="1" applyFont="1" applyFill="1" applyBorder="1" applyAlignment="1">
      <alignment horizontal="center" vertical="center"/>
    </xf>
    <xf numFmtId="3" fontId="16" fillId="9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4" fontId="18" fillId="9" borderId="1" xfId="0" applyNumberFormat="1" applyFont="1" applyFill="1" applyBorder="1" applyAlignment="1">
      <alignment horizontal="center" vertical="center"/>
    </xf>
    <xf numFmtId="164" fontId="19" fillId="9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2" fontId="7" fillId="12" borderId="1" xfId="0" applyNumberFormat="1" applyFont="1" applyFill="1" applyBorder="1" applyAlignment="1">
      <alignment horizontal="center" vertical="center"/>
    </xf>
    <xf numFmtId="2" fontId="16" fillId="8" borderId="1" xfId="0" applyNumberFormat="1" applyFont="1" applyFill="1" applyBorder="1" applyAlignment="1">
      <alignment horizontal="center" vertical="center"/>
    </xf>
    <xf numFmtId="2" fontId="14" fillId="7" borderId="1" xfId="0" applyNumberFormat="1" applyFont="1" applyFill="1" applyBorder="1" applyAlignment="1">
      <alignment horizontal="center" vertical="center"/>
    </xf>
    <xf numFmtId="3" fontId="25" fillId="5" borderId="1" xfId="0" applyNumberFormat="1" applyFont="1" applyFill="1" applyBorder="1" applyAlignment="1">
      <alignment horizontal="center" vertical="center"/>
    </xf>
    <xf numFmtId="169" fontId="14" fillId="7" borderId="1" xfId="0" applyNumberFormat="1" applyFont="1" applyFill="1" applyBorder="1" applyAlignment="1">
      <alignment horizontal="center" vertical="center"/>
    </xf>
    <xf numFmtId="167" fontId="14" fillId="7" borderId="1" xfId="0" applyNumberFormat="1" applyFont="1" applyFill="1" applyBorder="1" applyAlignment="1">
      <alignment horizontal="center" vertical="center"/>
    </xf>
    <xf numFmtId="166" fontId="21" fillId="6" borderId="1" xfId="0" applyNumberFormat="1" applyFont="1" applyFill="1" applyBorder="1" applyAlignment="1">
      <alignment horizontal="center" vertical="center"/>
    </xf>
    <xf numFmtId="169" fontId="21" fillId="6" borderId="1" xfId="0" applyNumberFormat="1" applyFont="1" applyFill="1" applyBorder="1" applyAlignment="1">
      <alignment horizontal="center" vertical="center"/>
    </xf>
    <xf numFmtId="166" fontId="19" fillId="8" borderId="1" xfId="0" applyNumberFormat="1" applyFont="1" applyFill="1" applyBorder="1" applyAlignment="1">
      <alignment horizontal="center" vertical="center"/>
    </xf>
    <xf numFmtId="169" fontId="19" fillId="8" borderId="1" xfId="0" applyNumberFormat="1" applyFont="1" applyFill="1" applyBorder="1" applyAlignment="1">
      <alignment horizontal="center" vertical="center"/>
    </xf>
    <xf numFmtId="166" fontId="27" fillId="5" borderId="1" xfId="0" applyNumberFormat="1" applyFont="1" applyFill="1" applyBorder="1" applyAlignment="1">
      <alignment horizontal="center" vertical="center"/>
    </xf>
    <xf numFmtId="169" fontId="27" fillId="5" borderId="1" xfId="0" applyNumberFormat="1" applyFont="1" applyFill="1" applyBorder="1" applyAlignment="1">
      <alignment horizontal="center" vertical="center"/>
    </xf>
    <xf numFmtId="164" fontId="27" fillId="5" borderId="1" xfId="0" applyNumberFormat="1" applyFont="1" applyFill="1" applyBorder="1" applyAlignment="1">
      <alignment horizontal="center" vertical="center"/>
    </xf>
    <xf numFmtId="167" fontId="27" fillId="5" borderId="1" xfId="0" applyNumberFormat="1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169" fontId="15" fillId="6" borderId="1" xfId="0" applyNumberFormat="1" applyFont="1" applyFill="1" applyBorder="1" applyAlignment="1">
      <alignment horizontal="center" vertical="center"/>
    </xf>
    <xf numFmtId="169" fontId="16" fillId="8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/>
    </xf>
    <xf numFmtId="166" fontId="25" fillId="5" borderId="1" xfId="0" applyNumberFormat="1" applyFont="1" applyFill="1" applyBorder="1" applyAlignment="1">
      <alignment horizontal="center" vertical="center"/>
    </xf>
    <xf numFmtId="170" fontId="18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3" fontId="8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9" fontId="8" fillId="9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9" fontId="15" fillId="6" borderId="1" xfId="0" applyNumberFormat="1" applyFont="1" applyFill="1" applyBorder="1" applyAlignment="1">
      <alignment horizontal="center" vertical="center"/>
    </xf>
    <xf numFmtId="3" fontId="22" fillId="11" borderId="1" xfId="0" applyNumberFormat="1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9" fillId="8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CC7C3A"/>
      <rgbColor rgb="FF800080"/>
      <rgbColor rgb="FF008080"/>
      <rgbColor rgb="FFB3B3B3"/>
      <rgbColor rgb="FF809B49"/>
      <rgbColor rgb="FF9999FF"/>
      <rgbColor rgb="FF9F423F"/>
      <rgbColor rgb="FFF2F2F2"/>
      <rgbColor rgb="FFD6E4F0"/>
      <rgbColor rgb="FF660066"/>
      <rgbColor rgb="FFF79646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AABAD7"/>
      <rgbColor rgb="FFD8AAA9"/>
      <rgbColor rgb="FFCC99FF"/>
      <rgbColor rgb="FFFFC7CE"/>
      <rgbColor rgb="FF416A9C"/>
      <rgbColor rgb="FF4BACC6"/>
      <rgbColor rgb="FF9BBB59"/>
      <rgbColor rgb="FFFFCC00"/>
      <rgbColor rgb="FFFF9900"/>
      <rgbColor rgb="FFFF6600"/>
      <rgbColor rgb="FF6A5286"/>
      <rgbColor rgb="FF969696"/>
      <rgbColor rgb="FF595959"/>
      <rgbColor rgb="FF4F81BD"/>
      <rgbColor rgb="FF003300"/>
      <rgbColor rgb="FF375623"/>
      <rgbColor rgb="FF9C5700"/>
      <rgbColor rgb="FFC0504D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Doanh thu &amp; LNST 2024-2028 (Triệu VND)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Dashboard!$B$35</c:f>
              <c:strCache>
                <c:ptCount val="1"/>
                <c:pt idx="0">
                  <c:v>-3.822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Dashboard!$A$36:$A$40</c:f>
              <c:strCache>
                <c:ptCount val="5"/>
                <c:pt idx="0">
                  <c:v>Dòng tiền thuần 13 tuần (triệu VND)</c:v>
                </c:pt>
                <c:pt idx="1">
                  <c:v>Số dư tiền cuối tuần 13 (triệu VND)</c:v>
                </c:pt>
                <c:pt idx="2">
                  <c:v>Tuần có dòng tiền thấp nhất</c:v>
                </c:pt>
                <c:pt idx="3">
                  <c:v>Tuần có dòng tiền cao nhất</c:v>
                </c:pt>
                <c:pt idx="4">
                  <c:v>2028</c:v>
                </c:pt>
              </c:strCache>
            </c:strRef>
          </c:cat>
          <c:val>
            <c:numRef>
              <c:f>Dashboard!$B$36:$B$40</c:f>
              <c:numCache>
                <c:formatCode>#,##0</c:formatCode>
                <c:ptCount val="5"/>
                <c:pt idx="0">
                  <c:v>1235</c:v>
                </c:pt>
                <c:pt idx="1">
                  <c:v>3235</c:v>
                </c:pt>
                <c:pt idx="2">
                  <c:v>95</c:v>
                </c:pt>
                <c:pt idx="3">
                  <c:v>95</c:v>
                </c:pt>
                <c:pt idx="4">
                  <c:v>34980.124999999985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41-41F4-9026-51E3C1AFCFAA}"/>
            </c:ext>
          </c:extLst>
        </c:ser>
        <c:ser>
          <c:idx val="1"/>
          <c:order val="1"/>
          <c:tx>
            <c:strRef>
              <c:f>Dashboard!$C$35</c:f>
              <c:strCache>
                <c:ptCount val="1"/>
                <c:pt idx="0">
                  <c:v>-3.822</c:v>
                </c:pt>
              </c:strCache>
            </c:strRef>
          </c:tx>
          <c:spPr>
            <a:solidFill>
              <a:srgbClr val="37562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Dashboard!$A$36:$A$40</c:f>
              <c:strCache>
                <c:ptCount val="5"/>
                <c:pt idx="0">
                  <c:v>Dòng tiền thuần 13 tuần (triệu VND)</c:v>
                </c:pt>
                <c:pt idx="1">
                  <c:v>Số dư tiền cuối tuần 13 (triệu VND)</c:v>
                </c:pt>
                <c:pt idx="2">
                  <c:v>Tuần có dòng tiền thấp nhất</c:v>
                </c:pt>
                <c:pt idx="3">
                  <c:v>Tuần có dòng tiền cao nhất</c:v>
                </c:pt>
                <c:pt idx="4">
                  <c:v>2028</c:v>
                </c:pt>
              </c:strCache>
            </c:strRef>
          </c:cat>
          <c:val>
            <c:numRef>
              <c:f>Dashboard!$C$36:$C$40</c:f>
              <c:numCache>
                <c:formatCode>#,##0</c:formatCode>
                <c:ptCount val="5"/>
                <c:pt idx="0">
                  <c:v>1235</c:v>
                </c:pt>
                <c:pt idx="1">
                  <c:v>3235</c:v>
                </c:pt>
                <c:pt idx="2">
                  <c:v>95</c:v>
                </c:pt>
                <c:pt idx="3">
                  <c:v>95</c:v>
                </c:pt>
                <c:pt idx="4">
                  <c:v>5516.5019999999986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41-41F4-9026-51E3C1AFC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02525"/>
        <c:axId val="15442323"/>
      </c:barChart>
      <c:catAx>
        <c:axId val="9210252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5442323"/>
        <c:crosses val="autoZero"/>
        <c:auto val="1"/>
        <c:lblAlgn val="ctr"/>
        <c:lblOffset val="100"/>
        <c:noMultiLvlLbl val="0"/>
      </c:catAx>
      <c:valAx>
        <c:axId val="1544232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9210252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Biên EBITDA 2024-2028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Dashboard!$D$35</c:f>
              <c:strCache>
                <c:ptCount val="1"/>
                <c:pt idx="0">
                  <c:v>-3.822</c:v>
                </c:pt>
              </c:strCache>
            </c:strRef>
          </c:tx>
          <c:spPr>
            <a:ln w="2844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Dashboard!$A$36:$A$40</c:f>
              <c:strCache>
                <c:ptCount val="5"/>
                <c:pt idx="0">
                  <c:v>Dòng tiền thuần 13 tuần (triệu VND)</c:v>
                </c:pt>
                <c:pt idx="1">
                  <c:v>Số dư tiền cuối tuần 13 (triệu VND)</c:v>
                </c:pt>
                <c:pt idx="2">
                  <c:v>Tuần có dòng tiền thấp nhất</c:v>
                </c:pt>
                <c:pt idx="3">
                  <c:v>Tuần có dòng tiền cao nhất</c:v>
                </c:pt>
                <c:pt idx="4">
                  <c:v>2028</c:v>
                </c:pt>
              </c:strCache>
            </c:strRef>
          </c:cat>
          <c:val>
            <c:numRef>
              <c:f>Dashboard!$D$36:$D$40</c:f>
              <c:numCache>
                <c:formatCode>#,##0</c:formatCode>
                <c:ptCount val="5"/>
                <c:pt idx="0">
                  <c:v>1235</c:v>
                </c:pt>
                <c:pt idx="1">
                  <c:v>3235</c:v>
                </c:pt>
                <c:pt idx="2">
                  <c:v>95</c:v>
                </c:pt>
                <c:pt idx="3">
                  <c:v>95</c:v>
                </c:pt>
                <c:pt idx="4" formatCode="0.0%">
                  <c:v>0.22000000000000003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379-4B2B-94AA-4DB2E7E63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80914745"/>
        <c:axId val="46330781"/>
      </c:lineChart>
      <c:catAx>
        <c:axId val="8091474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6330781"/>
        <c:crosses val="autoZero"/>
        <c:auto val="1"/>
        <c:lblAlgn val="ctr"/>
        <c:lblOffset val="100"/>
        <c:noMultiLvlLbl val="0"/>
      </c:catAx>
      <c:valAx>
        <c:axId val="4633078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Tỷ lệ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8091474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So sánh Kịch bản: Doanh thu &amp; LNST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Dashboard!$B$58</c:f>
              <c:strCache>
                <c:ptCount val="1"/>
                <c:pt idx="0">
                  <c:v>Doanh thu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Dashboard!$A$59:$A$61</c:f>
              <c:strCache>
                <c:ptCount val="3"/>
                <c:pt idx="0">
                  <c:v>Bear Case</c:v>
                </c:pt>
                <c:pt idx="1">
                  <c:v>Base Case</c:v>
                </c:pt>
                <c:pt idx="2">
                  <c:v>Bull Case</c:v>
                </c:pt>
              </c:strCache>
            </c:strRef>
          </c:cat>
          <c:val>
            <c:numRef>
              <c:f>Dashboard!$B$59:$B$61</c:f>
              <c:numCache>
                <c:formatCode>#,##0</c:formatCode>
                <c:ptCount val="3"/>
                <c:pt idx="0">
                  <c:v>21000</c:v>
                </c:pt>
                <c:pt idx="1">
                  <c:v>23000</c:v>
                </c:pt>
                <c:pt idx="2">
                  <c:v>25600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D-43B7-9E95-C9F366FA42CA}"/>
            </c:ext>
          </c:extLst>
        </c:ser>
        <c:ser>
          <c:idx val="1"/>
          <c:order val="1"/>
          <c:tx>
            <c:strRef>
              <c:f>Dashboard!$C$58</c:f>
              <c:strCache>
                <c:ptCount val="1"/>
                <c:pt idx="0">
                  <c:v>LNST</c:v>
                </c:pt>
              </c:strCache>
            </c:strRef>
          </c:tx>
          <c:spPr>
            <a:solidFill>
              <a:srgbClr val="C6EFCE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Dashboard!$A$59:$A$61</c:f>
              <c:strCache>
                <c:ptCount val="3"/>
                <c:pt idx="0">
                  <c:v>Bear Case</c:v>
                </c:pt>
                <c:pt idx="1">
                  <c:v>Base Case</c:v>
                </c:pt>
                <c:pt idx="2">
                  <c:v>Bull Case</c:v>
                </c:pt>
              </c:strCache>
            </c:strRef>
          </c:cat>
          <c:val>
            <c:numRef>
              <c:f>Dashboard!$C$59:$C$61</c:f>
              <c:numCache>
                <c:formatCode>#,##0</c:formatCode>
                <c:ptCount val="3"/>
                <c:pt idx="0">
                  <c:v>1040</c:v>
                </c:pt>
                <c:pt idx="1">
                  <c:v>3408</c:v>
                </c:pt>
                <c:pt idx="2">
                  <c:v>6323.2000000000007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8D-43B7-9E95-C9F366FA4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78437"/>
        <c:axId val="59261162"/>
      </c:barChart>
      <c:catAx>
        <c:axId val="4927843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9261162"/>
        <c:crosses val="autoZero"/>
        <c:auto val="1"/>
        <c:lblAlgn val="ctr"/>
        <c:lblOffset val="100"/>
        <c:noMultiLvlLbl val="0"/>
      </c:catAx>
      <c:valAx>
        <c:axId val="5926116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927843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Dự báo Dòng tiền 13 Tuần (Triệu VND)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Dashboard!$B$41</c:f>
              <c:strCache>
                <c:ptCount val="1"/>
                <c:pt idx="0">
                  <c:v>Dòng tiền thuần</c:v>
                </c:pt>
              </c:strCache>
            </c:strRef>
          </c:tx>
          <c:spPr>
            <a:ln w="2556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556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Dashboard!$A$42:$A$54</c:f>
              <c:strCache>
                <c:ptCount val="13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  <c:pt idx="12">
                  <c:v>T13</c:v>
                </c:pt>
              </c:strCache>
            </c:strRef>
          </c:cat>
          <c:val>
            <c:numRef>
              <c:f>Dashboard!$B$42:$B$54</c:f>
              <c:numCache>
                <c:formatCode>#,##0</c:formatCode>
                <c:ptCount val="13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0A3-4A19-B3C7-11D0BE44DF4D}"/>
            </c:ext>
          </c:extLst>
        </c:ser>
        <c:ser>
          <c:idx val="1"/>
          <c:order val="1"/>
          <c:tx>
            <c:strRef>
              <c:f>Dashboard!$C$41</c:f>
              <c:strCache>
                <c:ptCount val="1"/>
                <c:pt idx="0">
                  <c:v>Số dư cuối tuần</c:v>
                </c:pt>
              </c:strCache>
            </c:strRef>
          </c:tx>
          <c:spPr>
            <a:ln w="2556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556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Dashboard!$A$42:$A$54</c:f>
              <c:strCache>
                <c:ptCount val="13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  <c:pt idx="12">
                  <c:v>T13</c:v>
                </c:pt>
              </c:strCache>
            </c:strRef>
          </c:cat>
          <c:val>
            <c:numRef>
              <c:f>Dashboard!$C$42:$C$54</c:f>
              <c:numCache>
                <c:formatCode>#,##0</c:formatCode>
                <c:ptCount val="13"/>
                <c:pt idx="0">
                  <c:v>2095</c:v>
                </c:pt>
                <c:pt idx="1">
                  <c:v>2190</c:v>
                </c:pt>
                <c:pt idx="2">
                  <c:v>2285</c:v>
                </c:pt>
                <c:pt idx="3">
                  <c:v>2380</c:v>
                </c:pt>
                <c:pt idx="4">
                  <c:v>2475</c:v>
                </c:pt>
                <c:pt idx="5">
                  <c:v>2570</c:v>
                </c:pt>
                <c:pt idx="6">
                  <c:v>2665</c:v>
                </c:pt>
                <c:pt idx="7">
                  <c:v>2760</c:v>
                </c:pt>
                <c:pt idx="8">
                  <c:v>2855</c:v>
                </c:pt>
                <c:pt idx="9">
                  <c:v>2950</c:v>
                </c:pt>
                <c:pt idx="10">
                  <c:v>3045</c:v>
                </c:pt>
                <c:pt idx="11">
                  <c:v>3140</c:v>
                </c:pt>
                <c:pt idx="12">
                  <c:v>3235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0A3-4A19-B3C7-11D0BE44D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8185873"/>
        <c:axId val="5281666"/>
      </c:lineChart>
      <c:catAx>
        <c:axId val="181858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Tuần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281666"/>
        <c:crosses val="autoZero"/>
        <c:auto val="1"/>
        <c:lblAlgn val="ctr"/>
        <c:lblOffset val="100"/>
        <c:noMultiLvlLbl val="0"/>
      </c:catAx>
      <c:valAx>
        <c:axId val="528166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818587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So sánh KPI 3 Kịch bản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Dashboard!$B$78</c:f>
              <c:strCache>
                <c:ptCount val="1"/>
                <c:pt idx="0">
                  <c:v>Bear</c:v>
                </c:pt>
              </c:strCache>
            </c:strRef>
          </c:tx>
          <c:spPr>
            <a:solidFill>
              <a:srgbClr val="C000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Dashboard!$A$79:$A$82</c:f>
              <c:strCache>
                <c:ptCount val="4"/>
                <c:pt idx="0">
                  <c:v>Doanh thu</c:v>
                </c:pt>
                <c:pt idx="1">
                  <c:v>Lợi nhuận gộp</c:v>
                </c:pt>
                <c:pt idx="2">
                  <c:v>EBITDA</c:v>
                </c:pt>
                <c:pt idx="3">
                  <c:v>LNST</c:v>
                </c:pt>
              </c:strCache>
            </c:strRef>
          </c:cat>
          <c:val>
            <c:numRef>
              <c:f>Dashboard!$B$79:$B$82</c:f>
              <c:numCache>
                <c:formatCode>#,##0</c:formatCode>
                <c:ptCount val="4"/>
                <c:pt idx="0">
                  <c:v>21000</c:v>
                </c:pt>
                <c:pt idx="1">
                  <c:v>6930</c:v>
                </c:pt>
                <c:pt idx="2">
                  <c:v>2100</c:v>
                </c:pt>
                <c:pt idx="3">
                  <c:v>1040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A4-49B5-9CF9-7BA714A3A913}"/>
            </c:ext>
          </c:extLst>
        </c:ser>
        <c:ser>
          <c:idx val="1"/>
          <c:order val="1"/>
          <c:tx>
            <c:strRef>
              <c:f>Dashboard!$C$78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37562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Dashboard!$A$79:$A$82</c:f>
              <c:strCache>
                <c:ptCount val="4"/>
                <c:pt idx="0">
                  <c:v>Doanh thu</c:v>
                </c:pt>
                <c:pt idx="1">
                  <c:v>Lợi nhuận gộp</c:v>
                </c:pt>
                <c:pt idx="2">
                  <c:v>EBITDA</c:v>
                </c:pt>
                <c:pt idx="3">
                  <c:v>LNST</c:v>
                </c:pt>
              </c:strCache>
            </c:strRef>
          </c:cat>
          <c:val>
            <c:numRef>
              <c:f>Dashboard!$C$79:$C$82</c:f>
              <c:numCache>
                <c:formatCode>#,##0</c:formatCode>
                <c:ptCount val="4"/>
                <c:pt idx="0">
                  <c:v>23000</c:v>
                </c:pt>
                <c:pt idx="1">
                  <c:v>9200</c:v>
                </c:pt>
                <c:pt idx="2">
                  <c:v>5060</c:v>
                </c:pt>
                <c:pt idx="3">
                  <c:v>3408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A4-49B5-9CF9-7BA714A3A913}"/>
            </c:ext>
          </c:extLst>
        </c:ser>
        <c:ser>
          <c:idx val="2"/>
          <c:order val="2"/>
          <c:tx>
            <c:strRef>
              <c:f>Dashboard!$D$78</c:f>
              <c:strCache>
                <c:ptCount val="1"/>
                <c:pt idx="0">
                  <c:v>Bull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Dashboard!$A$79:$A$82</c:f>
              <c:strCache>
                <c:ptCount val="4"/>
                <c:pt idx="0">
                  <c:v>Doanh thu</c:v>
                </c:pt>
                <c:pt idx="1">
                  <c:v>Lợi nhuận gộp</c:v>
                </c:pt>
                <c:pt idx="2">
                  <c:v>EBITDA</c:v>
                </c:pt>
                <c:pt idx="3">
                  <c:v>LNST</c:v>
                </c:pt>
              </c:strCache>
            </c:strRef>
          </c:cat>
          <c:val>
            <c:numRef>
              <c:f>Dashboard!$D$79:$D$82</c:f>
              <c:numCache>
                <c:formatCode>#,##0</c:formatCode>
                <c:ptCount val="4"/>
                <c:pt idx="0">
                  <c:v>25600</c:v>
                </c:pt>
                <c:pt idx="1">
                  <c:v>12032</c:v>
                </c:pt>
                <c:pt idx="2">
                  <c:v>8704</c:v>
                </c:pt>
                <c:pt idx="3">
                  <c:v>6323.2000000000007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A4-49B5-9CF9-7BA714A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279199"/>
        <c:axId val="27052093"/>
      </c:barChart>
      <c:catAx>
        <c:axId val="302791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27052093"/>
        <c:crosses val="autoZero"/>
        <c:auto val="1"/>
        <c:lblAlgn val="ctr"/>
        <c:lblOffset val="100"/>
        <c:noMultiLvlLbl val="0"/>
      </c:catAx>
      <c:valAx>
        <c:axId val="2705209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027919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Phân phối LNST 2024 (1,000 mô phỏng)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'Monte Carlo'!$B$43</c:f>
              <c:strCache>
                <c:ptCount val="1"/>
                <c:pt idx="0">
                  <c:v>Số kịch bản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'Monte Carlo'!$A$44:$A$55</c:f>
              <c:strCache>
                <c:ptCount val="12"/>
                <c:pt idx="0">
                  <c:v>0 – 570</c:v>
                </c:pt>
                <c:pt idx="1">
                  <c:v>570 – 1,140</c:v>
                </c:pt>
                <c:pt idx="2">
                  <c:v>1,140 – 1,710</c:v>
                </c:pt>
                <c:pt idx="3">
                  <c:v>1,710 – 2,280</c:v>
                </c:pt>
                <c:pt idx="4">
                  <c:v>2,280 – 2,850</c:v>
                </c:pt>
                <c:pt idx="5">
                  <c:v>2,850 – 3,420</c:v>
                </c:pt>
                <c:pt idx="6">
                  <c:v>3,420 – 3,990</c:v>
                </c:pt>
                <c:pt idx="7">
                  <c:v>3,990 – 4,560</c:v>
                </c:pt>
                <c:pt idx="8">
                  <c:v>4,560 – 5,130</c:v>
                </c:pt>
                <c:pt idx="9">
                  <c:v>5,130 – 5,700</c:v>
                </c:pt>
                <c:pt idx="10">
                  <c:v>5,700 – 6,270</c:v>
                </c:pt>
                <c:pt idx="11">
                  <c:v>6,270 – 6,841</c:v>
                </c:pt>
              </c:strCache>
            </c:strRef>
          </c:cat>
          <c:val>
            <c:numRef>
              <c:f>'Monte Carlo'!$B$44:$B$55</c:f>
              <c:numCache>
                <c:formatCode>#,##0</c:formatCode>
                <c:ptCount val="12"/>
                <c:pt idx="0">
                  <c:v>2</c:v>
                </c:pt>
                <c:pt idx="1">
                  <c:v>17</c:v>
                </c:pt>
                <c:pt idx="2">
                  <c:v>37</c:v>
                </c:pt>
                <c:pt idx="3">
                  <c:v>83</c:v>
                </c:pt>
                <c:pt idx="4">
                  <c:v>136</c:v>
                </c:pt>
                <c:pt idx="5">
                  <c:v>216</c:v>
                </c:pt>
                <c:pt idx="6">
                  <c:v>211</c:v>
                </c:pt>
                <c:pt idx="7">
                  <c:v>139</c:v>
                </c:pt>
                <c:pt idx="8">
                  <c:v>91</c:v>
                </c:pt>
                <c:pt idx="9">
                  <c:v>42</c:v>
                </c:pt>
                <c:pt idx="10">
                  <c:v>16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2-489E-8D12-E662FDE94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377478"/>
        <c:axId val="64404435"/>
      </c:barChart>
      <c:catAx>
        <c:axId val="43774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Khoảng LNST (Triệu VND)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64404435"/>
        <c:crosses val="autoZero"/>
        <c:auto val="1"/>
        <c:lblAlgn val="ctr"/>
        <c:lblOffset val="100"/>
        <c:noMultiLvlLbl val="0"/>
      </c:catAx>
      <c:valAx>
        <c:axId val="6440443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Số kịch bản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37747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ROE Mean vs WACC theo năm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'Monte Carlo'!$B$35</c:f>
              <c:strCache>
                <c:ptCount val="1"/>
                <c:pt idx="0">
                  <c:v>ROE Mean</c:v>
                </c:pt>
              </c:strCache>
            </c:strRef>
          </c:tx>
          <c:spPr>
            <a:ln w="2844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Carlo'!$A$36:$A$40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Carlo'!$B$36:$B$40</c:f>
              <c:numCache>
                <c:formatCode>0.0%</c:formatCode>
                <c:ptCount val="5"/>
                <c:pt idx="0">
                  <c:v>0.26960000000000001</c:v>
                </c:pt>
                <c:pt idx="1">
                  <c:v>0.30969999999999998</c:v>
                </c:pt>
                <c:pt idx="2">
                  <c:v>0.36599999999999999</c:v>
                </c:pt>
                <c:pt idx="3">
                  <c:v>0.42320000000000002</c:v>
                </c:pt>
                <c:pt idx="4">
                  <c:v>0.50249999999999995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758-4EFE-9F97-02C70BE9E15A}"/>
            </c:ext>
          </c:extLst>
        </c:ser>
        <c:ser>
          <c:idx val="1"/>
          <c:order val="1"/>
          <c:tx>
            <c:strRef>
              <c:f>'Monte Carlo'!$C$35</c:f>
              <c:strCache>
                <c:ptCount val="1"/>
                <c:pt idx="0">
                  <c:v>ROE P5</c:v>
                </c:pt>
              </c:strCache>
            </c:strRef>
          </c:tx>
          <c:spPr>
            <a:ln w="15840">
              <a:solidFill>
                <a:srgbClr val="C6EFC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5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Carlo'!$A$36:$A$40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Carlo'!$C$36:$C$40</c:f>
              <c:numCache>
                <c:formatCode>0.0%</c:formatCode>
                <c:ptCount val="5"/>
                <c:pt idx="0">
                  <c:v>0.1288</c:v>
                </c:pt>
                <c:pt idx="1">
                  <c:v>0.13880000000000001</c:v>
                </c:pt>
                <c:pt idx="2">
                  <c:v>0.16389999999999999</c:v>
                </c:pt>
                <c:pt idx="3">
                  <c:v>0.19400000000000001</c:v>
                </c:pt>
                <c:pt idx="4">
                  <c:v>0.22900000000000001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758-4EFE-9F97-02C70BE9E15A}"/>
            </c:ext>
          </c:extLst>
        </c:ser>
        <c:ser>
          <c:idx val="2"/>
          <c:order val="2"/>
          <c:tx>
            <c:strRef>
              <c:f>'Monte Carlo'!$D$35</c:f>
              <c:strCache>
                <c:ptCount val="1"/>
                <c:pt idx="0">
                  <c:v>ROE P95</c:v>
                </c:pt>
              </c:strCache>
            </c:strRef>
          </c:tx>
          <c:spPr>
            <a:ln w="15840">
              <a:solidFill>
                <a:srgbClr val="FFC7C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5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Carlo'!$A$36:$A$40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Carlo'!$D$36:$D$40</c:f>
              <c:numCache>
                <c:formatCode>0.0%</c:formatCode>
                <c:ptCount val="5"/>
                <c:pt idx="0">
                  <c:v>0.4103</c:v>
                </c:pt>
                <c:pt idx="1">
                  <c:v>0.4768</c:v>
                </c:pt>
                <c:pt idx="2">
                  <c:v>0.59660000000000002</c:v>
                </c:pt>
                <c:pt idx="3">
                  <c:v>0.67600000000000005</c:v>
                </c:pt>
                <c:pt idx="4">
                  <c:v>0.80769999999999997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758-4EFE-9F97-02C70BE9E15A}"/>
            </c:ext>
          </c:extLst>
        </c:ser>
        <c:ser>
          <c:idx val="3"/>
          <c:order val="3"/>
          <c:tx>
            <c:strRef>
              <c:f>'Monte Carlo'!$E$35</c:f>
              <c:strCache>
                <c:ptCount val="1"/>
                <c:pt idx="0">
                  <c:v>WACC</c:v>
                </c:pt>
              </c:strCache>
            </c:strRef>
          </c:tx>
          <c:spPr>
            <a:ln w="2556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556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Carlo'!$A$36:$A$40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Carlo'!$E$36:$E$40</c:f>
              <c:numCache>
                <c:formatCode>0.0%</c:formatCode>
                <c:ptCount val="5"/>
                <c:pt idx="0">
                  <c:v>9.6600000000000005E-2</c:v>
                </c:pt>
                <c:pt idx="1">
                  <c:v>9.6600000000000005E-2</c:v>
                </c:pt>
                <c:pt idx="2">
                  <c:v>9.6600000000000005E-2</c:v>
                </c:pt>
                <c:pt idx="3">
                  <c:v>9.6600000000000005E-2</c:v>
                </c:pt>
                <c:pt idx="4">
                  <c:v>9.6600000000000005E-2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758-4EFE-9F97-02C70BE9E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8470412"/>
        <c:axId val="70006030"/>
      </c:lineChart>
      <c:catAx>
        <c:axId val="6847041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0006030"/>
        <c:crosses val="autoZero"/>
        <c:auto val="1"/>
        <c:lblAlgn val="ctr"/>
        <c:lblOffset val="100"/>
        <c:noMultiLvlLbl val="0"/>
      </c:catAx>
      <c:valAx>
        <c:axId val="7000603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Tỷ lệ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6847041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ROE Mean theo Kịch bản vs WACC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'Monte Carlo'!$B$89</c:f>
              <c:strCache>
                <c:ptCount val="1"/>
                <c:pt idx="0">
                  <c:v>Bear ROE</c:v>
                </c:pt>
              </c:strCache>
            </c:strRef>
          </c:tx>
          <c:spPr>
            <a:ln w="2232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232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Carlo'!$A$90:$A$94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Carlo'!$B$90:$B$94</c:f>
              <c:numCache>
                <c:formatCode>0.0%</c:formatCode>
                <c:ptCount val="5"/>
                <c:pt idx="0">
                  <c:v>0.1089</c:v>
                </c:pt>
                <c:pt idx="1">
                  <c:v>0.11210000000000001</c:v>
                </c:pt>
                <c:pt idx="2">
                  <c:v>0.12330000000000001</c:v>
                </c:pt>
                <c:pt idx="3">
                  <c:v>0.13519999999999999</c:v>
                </c:pt>
                <c:pt idx="4">
                  <c:v>0.152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1DE-4FEB-9616-BCDB449F2FB9}"/>
            </c:ext>
          </c:extLst>
        </c:ser>
        <c:ser>
          <c:idx val="1"/>
          <c:order val="1"/>
          <c:tx>
            <c:strRef>
              <c:f>'Monte Carlo'!$C$89</c:f>
              <c:strCache>
                <c:ptCount val="1"/>
                <c:pt idx="0">
                  <c:v>Base ROE</c:v>
                </c:pt>
              </c:strCache>
            </c:strRef>
          </c:tx>
          <c:spPr>
            <a:ln w="22320">
              <a:solidFill>
                <a:srgbClr val="375623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232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Carlo'!$A$90:$A$94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Carlo'!$C$90:$C$94</c:f>
              <c:numCache>
                <c:formatCode>0.0%</c:formatCode>
                <c:ptCount val="5"/>
                <c:pt idx="0">
                  <c:v>0.27079999999999999</c:v>
                </c:pt>
                <c:pt idx="1">
                  <c:v>0.30930000000000002</c:v>
                </c:pt>
                <c:pt idx="2">
                  <c:v>0.3664</c:v>
                </c:pt>
                <c:pt idx="3">
                  <c:v>0.4365</c:v>
                </c:pt>
                <c:pt idx="4">
                  <c:v>0.4945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1DE-4FEB-9616-BCDB449F2FB9}"/>
            </c:ext>
          </c:extLst>
        </c:ser>
        <c:ser>
          <c:idx val="2"/>
          <c:order val="2"/>
          <c:tx>
            <c:strRef>
              <c:f>'Monte Carlo'!$D$89</c:f>
              <c:strCache>
                <c:ptCount val="1"/>
                <c:pt idx="0">
                  <c:v>Bull ROE</c:v>
                </c:pt>
              </c:strCache>
            </c:strRef>
          </c:tx>
          <c:spPr>
            <a:ln w="2232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232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Carlo'!$A$90:$A$94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Carlo'!$D$90:$D$94</c:f>
              <c:numCache>
                <c:formatCode>0.0%</c:formatCode>
                <c:ptCount val="5"/>
                <c:pt idx="0">
                  <c:v>0.46079999999999999</c:v>
                </c:pt>
                <c:pt idx="1">
                  <c:v>0.59799999999999998</c:v>
                </c:pt>
                <c:pt idx="2">
                  <c:v>0.77459999999999996</c:v>
                </c:pt>
                <c:pt idx="3">
                  <c:v>1.0098</c:v>
                </c:pt>
                <c:pt idx="4">
                  <c:v>1.3164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1DE-4FEB-9616-BCDB449F2FB9}"/>
            </c:ext>
          </c:extLst>
        </c:ser>
        <c:ser>
          <c:idx val="3"/>
          <c:order val="3"/>
          <c:tx>
            <c:strRef>
              <c:f>'Monte Carlo'!$E$89</c:f>
              <c:strCache>
                <c:ptCount val="1"/>
                <c:pt idx="0">
                  <c:v>WACC</c:v>
                </c:pt>
              </c:strCache>
            </c:strRef>
          </c:tx>
          <c:spPr>
            <a:ln w="28440">
              <a:solidFill>
                <a:srgbClr val="FF66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Carlo'!$A$90:$A$94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Carlo'!$E$90:$E$94</c:f>
              <c:numCache>
                <c:formatCode>0.0%</c:formatCode>
                <c:ptCount val="5"/>
                <c:pt idx="0">
                  <c:v>9.6600000000000005E-2</c:v>
                </c:pt>
                <c:pt idx="1">
                  <c:v>9.6600000000000005E-2</c:v>
                </c:pt>
                <c:pt idx="2">
                  <c:v>9.6600000000000005E-2</c:v>
                </c:pt>
                <c:pt idx="3">
                  <c:v>9.6600000000000005E-2</c:v>
                </c:pt>
                <c:pt idx="4">
                  <c:v>9.6600000000000005E-2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1DE-4FEB-9616-BCDB449F2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3579780"/>
        <c:axId val="59867931"/>
      </c:lineChart>
      <c:catAx>
        <c:axId val="735797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9867931"/>
        <c:crosses val="autoZero"/>
        <c:auto val="1"/>
        <c:lblAlgn val="ctr"/>
        <c:lblOffset val="100"/>
        <c:noMultiLvlLbl val="0"/>
      </c:catAx>
      <c:valAx>
        <c:axId val="5986793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Tỷ lệ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357978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Bear vs Bull: LNST Mean 2024-2028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'Monte Carlo'!$D$113</c:f>
              <c:strCache>
                <c:ptCount val="1"/>
                <c:pt idx="0">
                  <c:v>Bear Mean</c:v>
                </c:pt>
              </c:strCache>
            </c:strRef>
          </c:tx>
          <c:spPr>
            <a:solidFill>
              <a:srgbClr val="C000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Carlo'!$A$114:$A$118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Carlo'!$D$114:$D$118</c:f>
              <c:numCache>
                <c:formatCode>#,##0</c:formatCode>
                <c:ptCount val="5"/>
                <c:pt idx="0">
                  <c:v>1387</c:v>
                </c:pt>
                <c:pt idx="1">
                  <c:v>1523</c:v>
                </c:pt>
                <c:pt idx="2">
                  <c:v>1718</c:v>
                </c:pt>
                <c:pt idx="3">
                  <c:v>1725</c:v>
                </c:pt>
                <c:pt idx="4">
                  <c:v>1865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C-4BF4-ACA4-19384FFA454E}"/>
            </c:ext>
          </c:extLst>
        </c:ser>
        <c:ser>
          <c:idx val="1"/>
          <c:order val="1"/>
          <c:tx>
            <c:strRef>
              <c:f>'Monte Carlo'!$E$113</c:f>
              <c:strCache>
                <c:ptCount val="1"/>
                <c:pt idx="0">
                  <c:v>Base Mean</c:v>
                </c:pt>
              </c:strCache>
            </c:strRef>
          </c:tx>
          <c:spPr>
            <a:solidFill>
              <a:srgbClr val="37562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Carlo'!$A$114:$A$118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Carlo'!$E$114:$E$118</c:f>
              <c:numCache>
                <c:formatCode>#,##0</c:formatCode>
                <c:ptCount val="5"/>
                <c:pt idx="0">
                  <c:v>3429</c:v>
                </c:pt>
                <c:pt idx="1">
                  <c:v>3993</c:v>
                </c:pt>
                <c:pt idx="2">
                  <c:v>4764</c:v>
                </c:pt>
                <c:pt idx="3">
                  <c:v>5624</c:v>
                </c:pt>
                <c:pt idx="4">
                  <c:v>6401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2C-4BF4-ACA4-19384FFA454E}"/>
            </c:ext>
          </c:extLst>
        </c:ser>
        <c:ser>
          <c:idx val="2"/>
          <c:order val="2"/>
          <c:tx>
            <c:strRef>
              <c:f>'Monte Carlo'!$F$113</c:f>
              <c:strCache>
                <c:ptCount val="1"/>
                <c:pt idx="0">
                  <c:v>Bull Mean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Carlo'!$A$114:$A$118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Carlo'!$F$114:$F$118</c:f>
              <c:numCache>
                <c:formatCode>#,##0</c:formatCode>
                <c:ptCount val="5"/>
                <c:pt idx="0">
                  <c:v>6008</c:v>
                </c:pt>
                <c:pt idx="1">
                  <c:v>7774</c:v>
                </c:pt>
                <c:pt idx="2">
                  <c:v>10213</c:v>
                </c:pt>
                <c:pt idx="3">
                  <c:v>13212</c:v>
                </c:pt>
                <c:pt idx="4">
                  <c:v>17038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2C-4BF4-ACA4-19384FFA4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1286"/>
        <c:axId val="79164453"/>
      </c:barChart>
      <c:catAx>
        <c:axId val="439212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9164453"/>
        <c:crosses val="autoZero"/>
        <c:auto val="1"/>
        <c:lblAlgn val="ctr"/>
        <c:lblOffset val="100"/>
        <c:noMultiLvlLbl val="0"/>
      </c:catAx>
      <c:valAx>
        <c:axId val="7916445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392128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WACC theo D/E Ratio (Tối ưu tại D/E=0.81x)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'Monte Carlo'!$G$167</c:f>
              <c:strCache>
                <c:ptCount val="1"/>
                <c:pt idx="0">
                  <c:v>WACC</c:v>
                </c:pt>
              </c:strCache>
            </c:strRef>
          </c:tx>
          <c:spPr>
            <a:ln w="2844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Carlo'!$A$168:$A$174</c:f>
              <c:numCache>
                <c:formatCode>0.00\x</c:formatCode>
                <c:ptCount val="7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1.5</c:v>
                </c:pt>
                <c:pt idx="6">
                  <c:v>2</c:v>
                </c:pt>
              </c:numCache>
            </c:numRef>
          </c:cat>
          <c:val>
            <c:numRef>
              <c:f>'Monte Carlo'!$G$168:$G$174</c:f>
              <c:numCache>
                <c:formatCode>0.0%</c:formatCode>
                <c:ptCount val="7"/>
                <c:pt idx="0">
                  <c:v>0.1203</c:v>
                </c:pt>
                <c:pt idx="1">
                  <c:v>0.11459999999999999</c:v>
                </c:pt>
                <c:pt idx="2">
                  <c:v>0.1109</c:v>
                </c:pt>
                <c:pt idx="3">
                  <c:v>0.1099</c:v>
                </c:pt>
                <c:pt idx="4">
                  <c:v>0.11020000000000001</c:v>
                </c:pt>
                <c:pt idx="5">
                  <c:v>0.113</c:v>
                </c:pt>
                <c:pt idx="6">
                  <c:v>0.11749999999999999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9DD-4E0E-B106-DD852183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8991829"/>
        <c:axId val="64785816"/>
      </c:lineChart>
      <c:catAx>
        <c:axId val="9899182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D/E Ratio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\x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64785816"/>
        <c:crosses val="autoZero"/>
        <c:auto val="1"/>
        <c:lblAlgn val="ctr"/>
        <c:lblOffset val="100"/>
        <c:noMultiLvlLbl val="0"/>
      </c:catAx>
      <c:valAx>
        <c:axId val="6478581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WACC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9899182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Độ lệch chuẩn LNST theo Kịch bản 2024-2028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'Monte Carlo'!$B$213</c:f>
              <c:strCache>
                <c:ptCount val="1"/>
                <c:pt idx="0">
                  <c:v>Bear Std</c:v>
                </c:pt>
              </c:strCache>
            </c:strRef>
          </c:tx>
          <c:spPr>
            <a:solidFill>
              <a:srgbClr val="C000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Carlo'!$A$214:$A$218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Carlo'!$B$214:$B$218</c:f>
              <c:numCache>
                <c:formatCode>General</c:formatCode>
                <c:ptCount val="5"/>
                <c:pt idx="0">
                  <c:v>886</c:v>
                </c:pt>
                <c:pt idx="1">
                  <c:v>994</c:v>
                </c:pt>
                <c:pt idx="2">
                  <c:v>1070</c:v>
                </c:pt>
                <c:pt idx="3">
                  <c:v>1115</c:v>
                </c:pt>
                <c:pt idx="4">
                  <c:v>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E-4332-8E80-5632C5D62231}"/>
            </c:ext>
          </c:extLst>
        </c:ser>
        <c:ser>
          <c:idx val="1"/>
          <c:order val="1"/>
          <c:tx>
            <c:strRef>
              <c:f>'Monte Carlo'!$C$213</c:f>
              <c:strCache>
                <c:ptCount val="1"/>
                <c:pt idx="0">
                  <c:v>Base Std</c:v>
                </c:pt>
              </c:strCache>
            </c:strRef>
          </c:tx>
          <c:spPr>
            <a:solidFill>
              <a:srgbClr val="37562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Carlo'!$A$214:$A$218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Carlo'!$C$214:$C$218</c:f>
              <c:numCache>
                <c:formatCode>General</c:formatCode>
                <c:ptCount val="5"/>
                <c:pt idx="0">
                  <c:v>1375</c:v>
                </c:pt>
                <c:pt idx="1">
                  <c:v>1569</c:v>
                </c:pt>
                <c:pt idx="2">
                  <c:v>1933</c:v>
                </c:pt>
                <c:pt idx="3">
                  <c:v>2309</c:v>
                </c:pt>
                <c:pt idx="4">
                  <c:v>2814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CE-4332-8E80-5632C5D62231}"/>
            </c:ext>
          </c:extLst>
        </c:ser>
        <c:ser>
          <c:idx val="2"/>
          <c:order val="2"/>
          <c:tx>
            <c:strRef>
              <c:f>'Monte Carlo'!$D$213</c:f>
              <c:strCache>
                <c:ptCount val="1"/>
                <c:pt idx="0">
                  <c:v>Bull Std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Carlo'!$A$214:$A$218</c:f>
              <c:numCache>
                <c:formatCode>General</c:formatCode>
                <c:ptCount val="5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</c:numCache>
            </c:numRef>
          </c:cat>
          <c:val>
            <c:numRef>
              <c:f>'Monte Carlo'!$D$214:$D$218</c:f>
              <c:numCache>
                <c:formatCode>General</c:formatCode>
                <c:ptCount val="5"/>
                <c:pt idx="0">
                  <c:v>1253</c:v>
                </c:pt>
                <c:pt idx="1">
                  <c:v>1668</c:v>
                </c:pt>
                <c:pt idx="2">
                  <c:v>2372</c:v>
                </c:pt>
                <c:pt idx="3">
                  <c:v>3256</c:v>
                </c:pt>
                <c:pt idx="4">
                  <c:v>4292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E-4332-8E80-5632C5D62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349418"/>
        <c:axId val="18732559"/>
      </c:barChart>
      <c:catAx>
        <c:axId val="5434941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8732559"/>
        <c:crosses val="autoZero"/>
        <c:auto val="1"/>
        <c:lblAlgn val="ctr"/>
        <c:lblOffset val="100"/>
        <c:noMultiLvlLbl val="0"/>
      </c:catAx>
      <c:valAx>
        <c:axId val="1873255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434941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VaR &amp; CVaR 95% vs LNST Mean 2024-2028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16A9C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Carlo'!$B$238</c:f>
              <c:numCache>
                <c:formatCode>#,##0</c:formatCode>
                <c:ptCount val="1"/>
                <c:pt idx="0">
                  <c:v>3399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4-4411-8D8D-CB11B9B2D686}"/>
            </c:ext>
          </c:extLst>
        </c:ser>
        <c:ser>
          <c:idx val="1"/>
          <c:order val="1"/>
          <c:spPr>
            <a:solidFill>
              <a:srgbClr val="9F423F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Carlo'!$C$238</c:f>
              <c:numCache>
                <c:formatCode>#,##0</c:formatCode>
                <c:ptCount val="1"/>
                <c:pt idx="0">
                  <c:v>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E4-4411-8D8D-CB11B9B2D686}"/>
            </c:ext>
          </c:extLst>
        </c:ser>
        <c:ser>
          <c:idx val="2"/>
          <c:order val="2"/>
          <c:spPr>
            <a:solidFill>
              <a:srgbClr val="809B4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Carlo'!$D$238</c:f>
              <c:numCache>
                <c:formatCode>#,##0</c:formatCode>
                <c:ptCount val="1"/>
                <c:pt idx="0">
                  <c:v>4919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E4-4411-8D8D-CB11B9B2D686}"/>
            </c:ext>
          </c:extLst>
        </c:ser>
        <c:ser>
          <c:idx val="3"/>
          <c:order val="3"/>
          <c:spPr>
            <a:solidFill>
              <a:srgbClr val="6A5286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Carlo'!$E$238</c:f>
              <c:numCache>
                <c:formatCode>#,##0</c:formatCode>
                <c:ptCount val="1"/>
                <c:pt idx="0">
                  <c:v>5544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E4-4411-8D8D-CB11B9B2D686}"/>
            </c:ext>
          </c:extLst>
        </c:ser>
        <c:ser>
          <c:idx val="4"/>
          <c:order val="4"/>
          <c:tx>
            <c:v>Mean</c:v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Carlo'!$F$238</c:f>
              <c:numCache>
                <c:formatCode>#,##0</c:formatCode>
                <c:ptCount val="1"/>
                <c:pt idx="0">
                  <c:v>6523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E4-4411-8D8D-CB11B9B2D686}"/>
            </c:ext>
          </c:extLst>
        </c:ser>
        <c:ser>
          <c:idx val="5"/>
          <c:order val="5"/>
          <c:spPr>
            <a:solidFill>
              <a:srgbClr val="CC7C3A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Carlo'!$B$240</c:f>
              <c:numCache>
                <c:formatCode>#,##0</c:formatCode>
                <c:ptCount val="1"/>
                <c:pt idx="0">
                  <c:v>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E4-4411-8D8D-CB11B9B2D686}"/>
            </c:ext>
          </c:extLst>
        </c:ser>
        <c:ser>
          <c:idx val="6"/>
          <c:order val="6"/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Carlo'!$C$240</c:f>
              <c:numCache>
                <c:formatCode>#,##0</c:formatCode>
                <c:ptCount val="1"/>
                <c:pt idx="0">
                  <c:v>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E4-4411-8D8D-CB11B9B2D686}"/>
            </c:ext>
          </c:extLst>
        </c:ser>
        <c:ser>
          <c:idx val="7"/>
          <c:order val="7"/>
          <c:spPr>
            <a:solidFill>
              <a:srgbClr val="C0504D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Carlo'!$D$240</c:f>
              <c:numCache>
                <c:formatCode>#,##0</c:formatCode>
                <c:ptCount val="1"/>
                <c:pt idx="0">
                  <c:v>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E4-4411-8D8D-CB11B9B2D686}"/>
            </c:ext>
          </c:extLst>
        </c:ser>
        <c:ser>
          <c:idx val="8"/>
          <c:order val="8"/>
          <c:spPr>
            <a:solidFill>
              <a:srgbClr val="9BBB5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Carlo'!$E$240</c:f>
              <c:numCache>
                <c:formatCode>#,##0</c:formatCode>
                <c:ptCount val="1"/>
                <c:pt idx="0">
                  <c:v>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E4-4411-8D8D-CB11B9B2D686}"/>
            </c:ext>
          </c:extLst>
        </c:ser>
        <c:ser>
          <c:idx val="9"/>
          <c:order val="9"/>
          <c:tx>
            <c:v>VaR 95%</c:v>
          </c:tx>
          <c:spPr>
            <a:solidFill>
              <a:srgbClr val="C000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Carlo'!$F$240</c:f>
              <c:numCache>
                <c:formatCode>#,##0</c:formatCode>
                <c:ptCount val="1"/>
                <c:pt idx="0">
                  <c:v>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8E4-4411-8D8D-CB11B9B2D686}"/>
            </c:ext>
          </c:extLst>
        </c:ser>
        <c:ser>
          <c:idx val="10"/>
          <c:order val="10"/>
          <c:spPr>
            <a:solidFill>
              <a:srgbClr val="4BACC6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Carlo'!$B$243</c:f>
              <c:numCache>
                <c:formatCode>#,##0</c:formatCode>
                <c:ptCount val="1"/>
                <c:pt idx="0">
                  <c:v>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E4-4411-8D8D-CB11B9B2D686}"/>
            </c:ext>
          </c:extLst>
        </c:ser>
        <c:ser>
          <c:idx val="11"/>
          <c:order val="11"/>
          <c:spPr>
            <a:solidFill>
              <a:srgbClr val="F79646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Carlo'!$C$243</c:f>
              <c:numCache>
                <c:formatCode>#,##0</c:formatCode>
                <c:ptCount val="1"/>
                <c:pt idx="0">
                  <c:v>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E4-4411-8D8D-CB11B9B2D686}"/>
            </c:ext>
          </c:extLst>
        </c:ser>
        <c:ser>
          <c:idx val="12"/>
          <c:order val="12"/>
          <c:spPr>
            <a:solidFill>
              <a:srgbClr val="AABAD7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Carlo'!$D$243</c:f>
              <c:numCache>
                <c:formatCode>#,##0</c:formatCode>
                <c:ptCount val="1"/>
                <c:pt idx="0">
                  <c:v>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8E4-4411-8D8D-CB11B9B2D686}"/>
            </c:ext>
          </c:extLst>
        </c:ser>
        <c:ser>
          <c:idx val="13"/>
          <c:order val="13"/>
          <c:spPr>
            <a:solidFill>
              <a:srgbClr val="D8AAA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Carlo'!$E$243</c:f>
              <c:numCache>
                <c:formatCode>#,##0</c:formatCode>
                <c:ptCount val="1"/>
                <c:pt idx="0">
                  <c:v>1391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8E4-4411-8D8D-CB11B9B2D686}"/>
            </c:ext>
          </c:extLst>
        </c:ser>
        <c:ser>
          <c:idx val="14"/>
          <c:order val="14"/>
          <c:tx>
            <c:v>CVaR 95%</c:v>
          </c:tx>
          <c:spPr>
            <a:solidFill>
              <a:srgbClr val="FF66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'Monte Carlo'!$F$243</c:f>
              <c:numCache>
                <c:formatCode>#,##0</c:formatCode>
                <c:ptCount val="1"/>
                <c:pt idx="0">
                  <c:v>1695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E4-4411-8D8D-CB11B9B2D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8591"/>
        <c:axId val="40895796"/>
      </c:barChart>
      <c:catAx>
        <c:axId val="3551859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Năm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0895796"/>
        <c:crosses val="autoZero"/>
        <c:auto val="1"/>
        <c:lblAlgn val="ctr"/>
        <c:lblOffset val="100"/>
        <c:noMultiLvlLbl val="0"/>
      </c:catAx>
      <c:valAx>
        <c:axId val="4089579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551859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WACC Tối ưu vs Hiện tại theo Ngành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'Monte Carlo'!$F$282</c:f>
              <c:strCache>
                <c:ptCount val="1"/>
                <c:pt idx="0">
                  <c:v>WACC Tối ưu</c:v>
                </c:pt>
              </c:strCache>
            </c:strRef>
          </c:tx>
          <c:spPr>
            <a:solidFill>
              <a:srgbClr val="37562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'Monte Carlo'!$A$283:$A$290</c:f>
              <c:strCache>
                <c:ptCount val="8"/>
                <c:pt idx="0">
                  <c:v>FMCG / Tiêu dùng</c:v>
                </c:pt>
                <c:pt idx="1">
                  <c:v>Bán lẻ</c:v>
                </c:pt>
                <c:pt idx="2">
                  <c:v>Sản xuất công nghiệp</c:v>
                </c:pt>
                <c:pt idx="3">
                  <c:v>Công nghệ / Phần mềm</c:v>
                </c:pt>
                <c:pt idx="4">
                  <c:v>Bất động sản</c:v>
                </c:pt>
                <c:pt idx="5">
                  <c:v>Dược phẩm / Y tế</c:v>
                </c:pt>
                <c:pt idx="6">
                  <c:v>Logistics / Vận tải</c:v>
                </c:pt>
                <c:pt idx="7">
                  <c:v>Thực phẩm &amp; Đồ uống</c:v>
                </c:pt>
              </c:strCache>
            </c:strRef>
          </c:cat>
          <c:val>
            <c:numRef>
              <c:f>'Monte Carlo'!$F$283:$F$290</c:f>
              <c:numCache>
                <c:formatCode>0.0%</c:formatCode>
                <c:ptCount val="8"/>
                <c:pt idx="0">
                  <c:v>0.1109</c:v>
                </c:pt>
                <c:pt idx="1">
                  <c:v>0.1129</c:v>
                </c:pt>
                <c:pt idx="2">
                  <c:v>0.1181</c:v>
                </c:pt>
                <c:pt idx="3">
                  <c:v>0.1376</c:v>
                </c:pt>
                <c:pt idx="4">
                  <c:v>0.124</c:v>
                </c:pt>
                <c:pt idx="5">
                  <c:v>0.10680000000000001</c:v>
                </c:pt>
                <c:pt idx="6">
                  <c:v>0.11509999999999999</c:v>
                </c:pt>
                <c:pt idx="7">
                  <c:v>0.1085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0-4365-A515-4D427E65AB57}"/>
            </c:ext>
          </c:extLst>
        </c:ser>
        <c:ser>
          <c:idx val="1"/>
          <c:order val="1"/>
          <c:tx>
            <c:strRef>
              <c:f>'Monte Carlo'!$G$282</c:f>
              <c:strCache>
                <c:ptCount val="1"/>
                <c:pt idx="0">
                  <c:v>WACC Hiện tại</c:v>
                </c:pt>
              </c:strCache>
            </c:strRef>
          </c:tx>
          <c:spPr>
            <a:solidFill>
              <a:srgbClr val="1F4E79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'Monte Carlo'!$A$283:$A$290</c:f>
              <c:strCache>
                <c:ptCount val="8"/>
                <c:pt idx="0">
                  <c:v>FMCG / Tiêu dùng</c:v>
                </c:pt>
                <c:pt idx="1">
                  <c:v>Bán lẻ</c:v>
                </c:pt>
                <c:pt idx="2">
                  <c:v>Sản xuất công nghiệp</c:v>
                </c:pt>
                <c:pt idx="3">
                  <c:v>Công nghệ / Phần mềm</c:v>
                </c:pt>
                <c:pt idx="4">
                  <c:v>Bất động sản</c:v>
                </c:pt>
                <c:pt idx="5">
                  <c:v>Dược phẩm / Y tế</c:v>
                </c:pt>
                <c:pt idx="6">
                  <c:v>Logistics / Vận tải</c:v>
                </c:pt>
                <c:pt idx="7">
                  <c:v>Thực phẩm &amp; Đồ uống</c:v>
                </c:pt>
              </c:strCache>
            </c:strRef>
          </c:cat>
          <c:val>
            <c:numRef>
              <c:f>'Monte Carlo'!$G$283:$G$290</c:f>
              <c:numCache>
                <c:formatCode>0.0%</c:formatCode>
                <c:ptCount val="8"/>
                <c:pt idx="0">
                  <c:v>0.1111</c:v>
                </c:pt>
                <c:pt idx="1">
                  <c:v>0.1142</c:v>
                </c:pt>
                <c:pt idx="2">
                  <c:v>0.1203</c:v>
                </c:pt>
                <c:pt idx="3">
                  <c:v>0.13239999999999999</c:v>
                </c:pt>
                <c:pt idx="4">
                  <c:v>0.1263</c:v>
                </c:pt>
                <c:pt idx="5">
                  <c:v>0.1051</c:v>
                </c:pt>
                <c:pt idx="6">
                  <c:v>0.1172</c:v>
                </c:pt>
                <c:pt idx="7">
                  <c:v>0.1081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20-4365-A515-4D427E65A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054405"/>
        <c:axId val="30808328"/>
      </c:barChart>
      <c:catAx>
        <c:axId val="5305440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Ngành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0808328"/>
        <c:crosses val="autoZero"/>
        <c:auto val="1"/>
        <c:lblAlgn val="ctr"/>
        <c:lblOffset val="100"/>
        <c:noMultiLvlLbl val="0"/>
      </c:catAx>
      <c:valAx>
        <c:axId val="30808328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WACC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305440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LNST Mean &amp; VaR 95% theo Kịch bản Lãi suất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'Monte Carlo'!$G$321</c:f>
              <c:strCache>
                <c:ptCount val="1"/>
                <c:pt idx="0">
                  <c:v>LNST Mean</c:v>
                </c:pt>
              </c:strCache>
            </c:strRef>
          </c:tx>
          <c:spPr>
            <a:ln w="28440">
              <a:solidFill>
                <a:srgbClr val="1F4E7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'Monte Carlo'!$A$322:$A$328</c:f>
              <c:strCache>
                <c:ptCount val="7"/>
                <c:pt idx="0">
                  <c:v>Giảm 200bps (-2%)</c:v>
                </c:pt>
                <c:pt idx="1">
                  <c:v>Giảm 100bps (-1%)</c:v>
                </c:pt>
                <c:pt idx="2">
                  <c:v>Base (Hiện tại)</c:v>
                </c:pt>
                <c:pt idx="3">
                  <c:v>Tăng 100bps (+1%)</c:v>
                </c:pt>
                <c:pt idx="4">
                  <c:v>Tăng 200bps (+2%)</c:v>
                </c:pt>
                <c:pt idx="5">
                  <c:v>Tăng 300bps (+3%)</c:v>
                </c:pt>
                <c:pt idx="6">
                  <c:v>Tăng 500bps (+5%)</c:v>
                </c:pt>
              </c:strCache>
            </c:strRef>
          </c:cat>
          <c:val>
            <c:numRef>
              <c:f>'Monte Carlo'!$G$322:$G$328</c:f>
              <c:numCache>
                <c:formatCode>#,##0</c:formatCode>
                <c:ptCount val="7"/>
                <c:pt idx="0">
                  <c:v>3455</c:v>
                </c:pt>
                <c:pt idx="1">
                  <c:v>3538</c:v>
                </c:pt>
                <c:pt idx="2">
                  <c:v>3348</c:v>
                </c:pt>
                <c:pt idx="3">
                  <c:v>3344</c:v>
                </c:pt>
                <c:pt idx="4">
                  <c:v>3298</c:v>
                </c:pt>
                <c:pt idx="5">
                  <c:v>3243</c:v>
                </c:pt>
                <c:pt idx="6">
                  <c:v>3247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C78-4277-9839-E73EFF24E28C}"/>
            </c:ext>
          </c:extLst>
        </c:ser>
        <c:ser>
          <c:idx val="1"/>
          <c:order val="1"/>
          <c:tx>
            <c:strRef>
              <c:f>'Monte Carlo'!$I$321</c:f>
              <c:strCache>
                <c:ptCount val="1"/>
                <c:pt idx="0">
                  <c:v>VaR 95%</c:v>
                </c:pt>
              </c:strCache>
            </c:strRef>
          </c:tx>
          <c:spPr>
            <a:ln w="2232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232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'Monte Carlo'!$A$322:$A$328</c:f>
              <c:strCache>
                <c:ptCount val="7"/>
                <c:pt idx="0">
                  <c:v>Giảm 200bps (-2%)</c:v>
                </c:pt>
                <c:pt idx="1">
                  <c:v>Giảm 100bps (-1%)</c:v>
                </c:pt>
                <c:pt idx="2">
                  <c:v>Base (Hiện tại)</c:v>
                </c:pt>
                <c:pt idx="3">
                  <c:v>Tăng 100bps (+1%)</c:v>
                </c:pt>
                <c:pt idx="4">
                  <c:v>Tăng 200bps (+2%)</c:v>
                </c:pt>
                <c:pt idx="5">
                  <c:v>Tăng 300bps (+3%)</c:v>
                </c:pt>
                <c:pt idx="6">
                  <c:v>Tăng 500bps (+5%)</c:v>
                </c:pt>
              </c:strCache>
            </c:strRef>
          </c:cat>
          <c:val>
            <c:numRef>
              <c:f>'Monte Carlo'!$I$322:$I$328</c:f>
              <c:numCache>
                <c:formatCode>#,##0</c:formatCode>
                <c:ptCount val="7"/>
                <c:pt idx="0">
                  <c:v>1213</c:v>
                </c:pt>
                <c:pt idx="1">
                  <c:v>1338</c:v>
                </c:pt>
                <c:pt idx="2">
                  <c:v>1155</c:v>
                </c:pt>
                <c:pt idx="3">
                  <c:v>1266</c:v>
                </c:pt>
                <c:pt idx="4">
                  <c:v>1079</c:v>
                </c:pt>
                <c:pt idx="5">
                  <c:v>1167</c:v>
                </c:pt>
                <c:pt idx="6">
                  <c:v>1150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C78-4277-9839-E73EFF24E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4361120"/>
        <c:axId val="82065789"/>
      </c:lineChart>
      <c:catAx>
        <c:axId val="5436112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Kịch bản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82065789"/>
        <c:crosses val="autoZero"/>
        <c:auto val="1"/>
        <c:lblAlgn val="ctr"/>
        <c:lblOffset val="100"/>
        <c:noMultiLvlLbl val="0"/>
      </c:catAx>
      <c:valAx>
        <c:axId val="8206578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Triệu VND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436112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Relationship Id="rId9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5</xdr:col>
      <xdr:colOff>6480</xdr:colOff>
      <xdr:row>67</xdr:row>
      <xdr:rowOff>83160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41</xdr:row>
      <xdr:rowOff>0</xdr:rowOff>
    </xdr:from>
    <xdr:to>
      <xdr:col>20</xdr:col>
      <xdr:colOff>469440</xdr:colOff>
      <xdr:row>67</xdr:row>
      <xdr:rowOff>83160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62</xdr:row>
      <xdr:rowOff>0</xdr:rowOff>
    </xdr:from>
    <xdr:to>
      <xdr:col>5</xdr:col>
      <xdr:colOff>6480</xdr:colOff>
      <xdr:row>88</xdr:row>
      <xdr:rowOff>83160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5</xdr:col>
      <xdr:colOff>727200</xdr:colOff>
      <xdr:row>81</xdr:row>
      <xdr:rowOff>83880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0</xdr:colOff>
      <xdr:row>55</xdr:row>
      <xdr:rowOff>0</xdr:rowOff>
    </xdr:from>
    <xdr:to>
      <xdr:col>21</xdr:col>
      <xdr:colOff>578520</xdr:colOff>
      <xdr:row>81</xdr:row>
      <xdr:rowOff>83880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904875</xdr:colOff>
      <xdr:row>42</xdr:row>
      <xdr:rowOff>104775</xdr:rowOff>
    </xdr:from>
    <xdr:to>
      <xdr:col>8</xdr:col>
      <xdr:colOff>647700</xdr:colOff>
      <xdr:row>53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914400</xdr:colOff>
      <xdr:row>53</xdr:row>
      <xdr:rowOff>123826</xdr:rowOff>
    </xdr:from>
    <xdr:to>
      <xdr:col>8</xdr:col>
      <xdr:colOff>142875</xdr:colOff>
      <xdr:row>67</xdr:row>
      <xdr:rowOff>161926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129</xdr:row>
      <xdr:rowOff>133350</xdr:rowOff>
    </xdr:from>
    <xdr:to>
      <xdr:col>5</xdr:col>
      <xdr:colOff>1571625</xdr:colOff>
      <xdr:row>147</xdr:row>
      <xdr:rowOff>76200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85724</xdr:colOff>
      <xdr:row>129</xdr:row>
      <xdr:rowOff>152400</xdr:rowOff>
    </xdr:from>
    <xdr:to>
      <xdr:col>10</xdr:col>
      <xdr:colOff>133349</xdr:colOff>
      <xdr:row>147</xdr:row>
      <xdr:rowOff>76200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0</xdr:colOff>
      <xdr:row>167</xdr:row>
      <xdr:rowOff>0</xdr:rowOff>
    </xdr:from>
    <xdr:to>
      <xdr:col>10</xdr:col>
      <xdr:colOff>138645</xdr:colOff>
      <xdr:row>185</xdr:row>
      <xdr:rowOff>66600</xdr:rowOff>
    </xdr:to>
    <xdr:graphicFrame macro="">
      <xdr:nvGraphicFramePr>
        <xdr:cNvPr id="10" name="Chart 5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0</xdr:colOff>
      <xdr:row>212</xdr:row>
      <xdr:rowOff>0</xdr:rowOff>
    </xdr:from>
    <xdr:to>
      <xdr:col>10</xdr:col>
      <xdr:colOff>138645</xdr:colOff>
      <xdr:row>234</xdr:row>
      <xdr:rowOff>161640</xdr:rowOff>
    </xdr:to>
    <xdr:graphicFrame macro="">
      <xdr:nvGraphicFramePr>
        <xdr:cNvPr id="11" name="Chart 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5</xdr:col>
      <xdr:colOff>0</xdr:colOff>
      <xdr:row>237</xdr:row>
      <xdr:rowOff>0</xdr:rowOff>
    </xdr:from>
    <xdr:to>
      <xdr:col>10</xdr:col>
      <xdr:colOff>139005</xdr:colOff>
      <xdr:row>257</xdr:row>
      <xdr:rowOff>28800</xdr:rowOff>
    </xdr:to>
    <xdr:graphicFrame macro="">
      <xdr:nvGraphicFramePr>
        <xdr:cNvPr id="12" name="Chart 7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0</xdr:colOff>
      <xdr:row>282</xdr:row>
      <xdr:rowOff>0</xdr:rowOff>
    </xdr:from>
    <xdr:to>
      <xdr:col>10</xdr:col>
      <xdr:colOff>366165</xdr:colOff>
      <xdr:row>300</xdr:row>
      <xdr:rowOff>67680</xdr:rowOff>
    </xdr:to>
    <xdr:graphicFrame macro="">
      <xdr:nvGraphicFramePr>
        <xdr:cNvPr id="13" name="Chart 8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0</xdr:colOff>
      <xdr:row>321</xdr:row>
      <xdr:rowOff>0</xdr:rowOff>
    </xdr:from>
    <xdr:to>
      <xdr:col>10</xdr:col>
      <xdr:colOff>366165</xdr:colOff>
      <xdr:row>339</xdr:row>
      <xdr:rowOff>67680</xdr:rowOff>
    </xdr:to>
    <xdr:graphicFrame macro="">
      <xdr:nvGraphicFramePr>
        <xdr:cNvPr id="14" name="Chart 9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45" customWidth="1"/>
    <col min="2" max="2" width="20" customWidth="1"/>
  </cols>
  <sheetData>
    <row r="1" spans="1:2" ht="15" customHeight="1" x14ac:dyDescent="0.25">
      <c r="A1" s="15" t="s">
        <v>0</v>
      </c>
      <c r="B1" s="15"/>
    </row>
    <row r="3" spans="1:2" ht="15" customHeight="1" x14ac:dyDescent="0.25">
      <c r="A3" s="16" t="s">
        <v>1</v>
      </c>
      <c r="B3" s="16" t="s">
        <v>2</v>
      </c>
    </row>
    <row r="4" spans="1:2" ht="18" customHeight="1" x14ac:dyDescent="0.25">
      <c r="A4" s="17" t="s">
        <v>3</v>
      </c>
      <c r="B4" s="18">
        <v>2024</v>
      </c>
    </row>
    <row r="5" spans="1:2" ht="18" customHeight="1" x14ac:dyDescent="0.25">
      <c r="A5" s="17" t="s">
        <v>4</v>
      </c>
      <c r="B5" s="19">
        <v>0.15</v>
      </c>
    </row>
    <row r="6" spans="1:2" ht="18" customHeight="1" x14ac:dyDescent="0.25">
      <c r="A6" s="17" t="s">
        <v>5</v>
      </c>
      <c r="B6" s="19">
        <v>0.6</v>
      </c>
    </row>
    <row r="7" spans="1:2" ht="18" customHeight="1" x14ac:dyDescent="0.25">
      <c r="A7" s="17" t="s">
        <v>6</v>
      </c>
      <c r="B7" s="19">
        <v>0.1</v>
      </c>
    </row>
    <row r="8" spans="1:2" ht="18" customHeight="1" x14ac:dyDescent="0.25">
      <c r="A8" s="17" t="s">
        <v>7</v>
      </c>
      <c r="B8" s="19">
        <v>0.08</v>
      </c>
    </row>
    <row r="9" spans="1:2" ht="18" customHeight="1" x14ac:dyDescent="0.25">
      <c r="A9" s="17" t="s">
        <v>8</v>
      </c>
      <c r="B9" s="19">
        <v>0.2</v>
      </c>
    </row>
    <row r="10" spans="1:2" ht="18" customHeight="1" x14ac:dyDescent="0.25">
      <c r="A10" s="17" t="s">
        <v>9</v>
      </c>
      <c r="B10" s="20">
        <v>500</v>
      </c>
    </row>
    <row r="11" spans="1:2" ht="18" customHeight="1" x14ac:dyDescent="0.25">
      <c r="A11" s="17" t="s">
        <v>10</v>
      </c>
      <c r="B11" s="20">
        <v>300</v>
      </c>
    </row>
    <row r="12" spans="1:2" ht="18" customHeight="1" x14ac:dyDescent="0.25">
      <c r="A12" s="17" t="s">
        <v>11</v>
      </c>
      <c r="B12" s="20">
        <v>1000</v>
      </c>
    </row>
    <row r="13" spans="1:2" ht="18" customHeight="1" x14ac:dyDescent="0.25">
      <c r="A13" s="17" t="s">
        <v>12</v>
      </c>
      <c r="B13" s="19">
        <v>0.05</v>
      </c>
    </row>
    <row r="14" spans="1:2" ht="18" customHeight="1" x14ac:dyDescent="0.25">
      <c r="A14" s="17"/>
      <c r="B14" s="21"/>
    </row>
    <row r="15" spans="1:2" ht="18" customHeight="1" x14ac:dyDescent="0.25">
      <c r="A15" s="17" t="s">
        <v>13</v>
      </c>
      <c r="B15" s="20">
        <v>2000</v>
      </c>
    </row>
    <row r="16" spans="1:2" ht="18" customHeight="1" x14ac:dyDescent="0.25">
      <c r="A16" s="17" t="s">
        <v>14</v>
      </c>
      <c r="B16" s="20">
        <v>5000</v>
      </c>
    </row>
    <row r="17" spans="1:2" ht="18" customHeight="1" x14ac:dyDescent="0.25">
      <c r="A17" s="17" t="s">
        <v>15</v>
      </c>
      <c r="B17" s="20">
        <v>10000</v>
      </c>
    </row>
    <row r="18" spans="1:2" ht="18" customHeight="1" x14ac:dyDescent="0.25">
      <c r="A18" s="17" t="s">
        <v>16</v>
      </c>
      <c r="B18" s="20">
        <v>20000</v>
      </c>
    </row>
    <row r="20" spans="1:2" ht="15" customHeight="1" x14ac:dyDescent="0.25">
      <c r="A20" s="22" t="s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40" customWidth="1"/>
    <col min="2" max="6" width="16" customWidth="1"/>
    <col min="8" max="8" width="22" customWidth="1"/>
    <col min="9" max="9" width="16" customWidth="1"/>
    <col min="10" max="10" width="35" customWidth="1"/>
  </cols>
  <sheetData>
    <row r="1" spans="1:10" ht="15" customHeight="1" x14ac:dyDescent="0.25">
      <c r="A1" s="15" t="s">
        <v>18</v>
      </c>
      <c r="B1" s="15"/>
      <c r="C1" s="15"/>
      <c r="D1" s="15"/>
      <c r="E1" s="15"/>
      <c r="F1" s="15"/>
    </row>
    <row r="3" spans="1:10" ht="15" customHeight="1" x14ac:dyDescent="0.25">
      <c r="A3" s="16" t="s">
        <v>1</v>
      </c>
      <c r="B3" s="16" t="s">
        <v>19</v>
      </c>
      <c r="C3" s="16" t="s">
        <v>20</v>
      </c>
      <c r="D3" s="16" t="s">
        <v>21</v>
      </c>
      <c r="E3" s="16" t="s">
        <v>22</v>
      </c>
      <c r="F3" s="16" t="s">
        <v>23</v>
      </c>
      <c r="H3" s="23" t="s">
        <v>24</v>
      </c>
      <c r="I3" s="24" t="s">
        <v>25</v>
      </c>
      <c r="J3" s="25" t="s">
        <v>26</v>
      </c>
    </row>
    <row r="4" spans="1:10" ht="18" customHeight="1" x14ac:dyDescent="0.25">
      <c r="A4" s="21" t="s">
        <v>27</v>
      </c>
      <c r="B4" s="26">
        <f>'Giả Định'!B18</f>
        <v>20000</v>
      </c>
      <c r="C4" s="26">
        <f>B4*(1+'Giả Định'!$B$5)</f>
        <v>23000</v>
      </c>
      <c r="D4" s="26">
        <f>C4*(1+'Giả Định'!$B$5)</f>
        <v>26449.999999999996</v>
      </c>
      <c r="E4" s="26">
        <f>D4*(1+'Giả Định'!$B$5)</f>
        <v>30417.499999999993</v>
      </c>
      <c r="F4" s="26">
        <f>E4*(1+'Giả Định'!$B$5)</f>
        <v>34980.124999999985</v>
      </c>
      <c r="H4" s="27" t="str">
        <f>IF(B4&lt;18000,"🔴 DT thấp hơn ngưỡng tối thiểu",IF(B4&lt;20000,"🟡 DT dưới kế hoạch","🟢 DT đạt kế hoạch"))</f>
        <v>🟢 DT đạt kế hoạch</v>
      </c>
      <c r="I4" s="28" t="str">
        <f>TEXT(B4-20000,"#,##0;(#,##0)")&amp;" vs KH 20,000"</f>
        <v>,0 vs KH 20,000</v>
      </c>
      <c r="J4" s="29" t="s">
        <v>28</v>
      </c>
    </row>
    <row r="5" spans="1:10" ht="18" customHeight="1" x14ac:dyDescent="0.25">
      <c r="A5" s="21" t="s">
        <v>29</v>
      </c>
      <c r="B5" s="26">
        <f>-B4*'Giả Định'!$B$6</f>
        <v>-12000</v>
      </c>
      <c r="C5" s="26">
        <f>-C4*'Giả Định'!$B$6</f>
        <v>-13800</v>
      </c>
      <c r="D5" s="26">
        <f>-D4*'Giả Định'!$B$6</f>
        <v>-15869.999999999996</v>
      </c>
      <c r="E5" s="26">
        <f>-E4*'Giả Định'!$B$6</f>
        <v>-18250.499999999996</v>
      </c>
      <c r="F5" s="26">
        <f>-F4*'Giả Định'!$B$6</f>
        <v>-20988.07499999999</v>
      </c>
    </row>
    <row r="6" spans="1:10" ht="18" customHeight="1" x14ac:dyDescent="0.25">
      <c r="A6" s="30" t="s">
        <v>30</v>
      </c>
      <c r="B6" s="31">
        <f>B4+B5</f>
        <v>8000</v>
      </c>
      <c r="C6" s="31">
        <f>C4+C5</f>
        <v>9200</v>
      </c>
      <c r="D6" s="31">
        <f>D4+D5</f>
        <v>10580</v>
      </c>
      <c r="E6" s="31">
        <f>E4+E5</f>
        <v>12166.999999999996</v>
      </c>
      <c r="F6" s="31">
        <f>F4+F5</f>
        <v>13992.049999999996</v>
      </c>
      <c r="H6" s="27" t="str">
        <f>IF(B7&lt;0.35,"🔴 Biên GP nguy hiểm",IF(B7&lt;0.4,"🟡 Biên GP thấp","🟢 Biên GP tốt"))</f>
        <v>🟢 Biên GP tốt</v>
      </c>
      <c r="I6" s="28" t="str">
        <f>TEXT(B7-0.4,"0.0%;(0.0%)")&amp;" vs KH 40%"</f>
        <v>00% vs KH 40%</v>
      </c>
      <c r="J6" s="29" t="s">
        <v>31</v>
      </c>
    </row>
    <row r="7" spans="1:10" ht="18" customHeight="1" x14ac:dyDescent="0.25">
      <c r="A7" s="32" t="s">
        <v>32</v>
      </c>
      <c r="B7" s="33">
        <f>IFERROR(B6/B4,0)</f>
        <v>0.4</v>
      </c>
      <c r="C7" s="33">
        <f>IFERROR(C6/C4,0)</f>
        <v>0.4</v>
      </c>
      <c r="D7" s="33">
        <f>IFERROR(D6/D4,0)</f>
        <v>0.40000000000000008</v>
      </c>
      <c r="E7" s="33">
        <f>IFERROR(E6/E4,0)</f>
        <v>0.39999999999999997</v>
      </c>
      <c r="F7" s="33">
        <f>IFERROR(F6/F4,0)</f>
        <v>0.4</v>
      </c>
    </row>
    <row r="8" spans="1:10" ht="18" customHeight="1" x14ac:dyDescent="0.25">
      <c r="A8" s="21" t="s">
        <v>33</v>
      </c>
      <c r="B8" s="26">
        <f>-B4*'Giả Định'!$B$7</f>
        <v>-2000</v>
      </c>
      <c r="C8" s="26">
        <f>-C4*'Giả Định'!$B$7</f>
        <v>-2300</v>
      </c>
      <c r="D8" s="26">
        <f>-D4*'Giả Định'!$B$7</f>
        <v>-2645</v>
      </c>
      <c r="E8" s="26">
        <f>-E4*'Giả Định'!$B$7</f>
        <v>-3041.7499999999995</v>
      </c>
      <c r="F8" s="26">
        <f>-F4*'Giả Định'!$B$7</f>
        <v>-3498.0124999999989</v>
      </c>
    </row>
    <row r="9" spans="1:10" ht="18" customHeight="1" x14ac:dyDescent="0.25">
      <c r="A9" s="21" t="s">
        <v>34</v>
      </c>
      <c r="B9" s="26">
        <f>-B4*'Giả Định'!$B$8</f>
        <v>-1600</v>
      </c>
      <c r="C9" s="26">
        <f>-C4*'Giả Định'!$B$8</f>
        <v>-1840</v>
      </c>
      <c r="D9" s="26">
        <f>-D4*'Giả Định'!$B$8</f>
        <v>-2115.9999999999995</v>
      </c>
      <c r="E9" s="26">
        <f>-E4*'Giả Định'!$B$8</f>
        <v>-2433.3999999999996</v>
      </c>
      <c r="F9" s="26">
        <f>-F4*'Giả Định'!$B$8</f>
        <v>-2798.4099999999989</v>
      </c>
    </row>
    <row r="10" spans="1:10" ht="18" customHeight="1" x14ac:dyDescent="0.25">
      <c r="A10" s="30" t="s">
        <v>35</v>
      </c>
      <c r="B10" s="31">
        <f>B6+B8+B9</f>
        <v>4400</v>
      </c>
      <c r="C10" s="31">
        <f>C6+C8+C9</f>
        <v>5060</v>
      </c>
      <c r="D10" s="31">
        <f>D6+D8+D9</f>
        <v>5819</v>
      </c>
      <c r="E10" s="31">
        <f>E6+E8+E9</f>
        <v>6691.8499999999967</v>
      </c>
      <c r="F10" s="31">
        <f>F6+F8+F9</f>
        <v>7695.6274999999978</v>
      </c>
      <c r="H10" s="27" t="str">
        <f>IF(B11&lt;0.15,"🔴 EBITDA margin nguy hiểm",IF(B11&lt;0.2,"🟡 EBITDA thấp","🟢 EBITDA tốt"))</f>
        <v>🟢 EBITDA tốt</v>
      </c>
      <c r="I10" s="28" t="str">
        <f>TEXT(B11-0.2,"0.0%;(0.0%)")&amp;" vs KH 20%"</f>
        <v>02% vs KH 20%</v>
      </c>
      <c r="J10" s="29" t="s">
        <v>36</v>
      </c>
    </row>
    <row r="11" spans="1:10" ht="18" customHeight="1" x14ac:dyDescent="0.25">
      <c r="A11" s="32" t="s">
        <v>37</v>
      </c>
      <c r="B11" s="33">
        <f>IFERROR(B10/B4,0)</f>
        <v>0.22</v>
      </c>
      <c r="C11" s="33">
        <f>IFERROR(C10/C4,0)</f>
        <v>0.22</v>
      </c>
      <c r="D11" s="33">
        <f>IFERROR(D10/D4,0)</f>
        <v>0.22000000000000003</v>
      </c>
      <c r="E11" s="33">
        <f>IFERROR(E10/E4,0)</f>
        <v>0.21999999999999995</v>
      </c>
      <c r="F11" s="33">
        <f>IFERROR(F10/F4,0)</f>
        <v>0.22000000000000003</v>
      </c>
    </row>
    <row r="12" spans="1:10" ht="18" customHeight="1" x14ac:dyDescent="0.25">
      <c r="A12" s="21" t="s">
        <v>38</v>
      </c>
      <c r="B12" s="26">
        <f>-'Giả Định'!$B$10</f>
        <v>-500</v>
      </c>
      <c r="C12" s="26">
        <f>-'Giả Định'!$B$10</f>
        <v>-500</v>
      </c>
      <c r="D12" s="26">
        <f>-'Giả Định'!$B$10</f>
        <v>-500</v>
      </c>
      <c r="E12" s="26">
        <f>-'Giả Định'!$B$10</f>
        <v>-500</v>
      </c>
      <c r="F12" s="26">
        <f>-'Giả Định'!$B$10</f>
        <v>-500</v>
      </c>
    </row>
    <row r="13" spans="1:10" ht="18" customHeight="1" x14ac:dyDescent="0.25">
      <c r="A13" s="30" t="s">
        <v>39</v>
      </c>
      <c r="B13" s="31">
        <f>B10+B12</f>
        <v>3900</v>
      </c>
      <c r="C13" s="31">
        <f>C10+C12</f>
        <v>4560</v>
      </c>
      <c r="D13" s="31">
        <f>D10+D12</f>
        <v>5319</v>
      </c>
      <c r="E13" s="31">
        <f>E10+E12</f>
        <v>6191.8499999999967</v>
      </c>
      <c r="F13" s="31">
        <f>F10+F12</f>
        <v>7195.6274999999978</v>
      </c>
    </row>
    <row r="14" spans="1:10" ht="18" customHeight="1" x14ac:dyDescent="0.25">
      <c r="A14" s="21" t="s">
        <v>40</v>
      </c>
      <c r="B14" s="26">
        <f>-'Giả Định'!$B$11</f>
        <v>-300</v>
      </c>
      <c r="C14" s="26">
        <f>-'Giả Định'!$B$11</f>
        <v>-300</v>
      </c>
      <c r="D14" s="26">
        <f>-'Giả Định'!$B$11</f>
        <v>-300</v>
      </c>
      <c r="E14" s="26">
        <f>-'Giả Định'!$B$11</f>
        <v>-300</v>
      </c>
      <c r="F14" s="26">
        <f>-'Giả Định'!$B$11</f>
        <v>-300</v>
      </c>
    </row>
    <row r="15" spans="1:10" ht="18" customHeight="1" x14ac:dyDescent="0.25">
      <c r="A15" s="30" t="s">
        <v>41</v>
      </c>
      <c r="B15" s="31">
        <f>B13+B14</f>
        <v>3600</v>
      </c>
      <c r="C15" s="31">
        <f>C13+C14</f>
        <v>4260</v>
      </c>
      <c r="D15" s="31">
        <f>D13+D14</f>
        <v>5019</v>
      </c>
      <c r="E15" s="31">
        <f>E13+E14</f>
        <v>5891.8499999999967</v>
      </c>
      <c r="F15" s="31">
        <f>F13+F14</f>
        <v>6895.6274999999978</v>
      </c>
    </row>
    <row r="16" spans="1:10" ht="18" customHeight="1" x14ac:dyDescent="0.25">
      <c r="A16" s="21" t="s">
        <v>42</v>
      </c>
      <c r="B16" s="26">
        <f>-MAX(B15,0)*'Giả Định'!$B$9</f>
        <v>-720</v>
      </c>
      <c r="C16" s="26">
        <f>-MAX(C15,0)*'Giả Định'!$B$9</f>
        <v>-852</v>
      </c>
      <c r="D16" s="26">
        <f>-MAX(D15,0)*'Giả Định'!$B$9</f>
        <v>-1003.8000000000001</v>
      </c>
      <c r="E16" s="26">
        <f>-MAX(E15,0)*'Giả Định'!$B$9</f>
        <v>-1178.3699999999994</v>
      </c>
      <c r="F16" s="26">
        <f>-MAX(F15,0)*'Giả Định'!$B$9</f>
        <v>-1379.1254999999996</v>
      </c>
    </row>
    <row r="17" spans="1:10" ht="18" customHeight="1" x14ac:dyDescent="0.25">
      <c r="A17" s="34" t="s">
        <v>43</v>
      </c>
      <c r="B17" s="35">
        <f>B15+B16</f>
        <v>2880</v>
      </c>
      <c r="C17" s="35">
        <f>C15+C16</f>
        <v>3408</v>
      </c>
      <c r="D17" s="35">
        <f>D15+D16</f>
        <v>4015.2</v>
      </c>
      <c r="E17" s="35">
        <f>E15+E16</f>
        <v>4713.4799999999977</v>
      </c>
      <c r="F17" s="35">
        <f>F15+F16</f>
        <v>5516.5019999999986</v>
      </c>
      <c r="H17" s="27" t="str">
        <f>IF(B17&lt;1500,"🔴 LNST nguy hiểm",IF(B17&lt;2500,"🟡 LNST dưới mục tiêu","🟢 LNST đạt mục tiêu"))</f>
        <v>🟢 LNST đạt mục tiêu</v>
      </c>
      <c r="I17" s="28" t="str">
        <f>TEXT(B17-2500,"#,##0;(#,##0)")&amp;" vs Target 2,500"</f>
        <v>380,0 vs Target 2,500</v>
      </c>
      <c r="J17" s="29" t="s">
        <v>44</v>
      </c>
    </row>
    <row r="18" spans="1:10" ht="18" customHeight="1" x14ac:dyDescent="0.25">
      <c r="A18" s="32" t="s">
        <v>45</v>
      </c>
      <c r="B18" s="33">
        <f>IFERROR(B17/B4,0)</f>
        <v>0.14399999999999999</v>
      </c>
      <c r="C18" s="33">
        <f>IFERROR(C17/C4,0)</f>
        <v>0.14817391304347827</v>
      </c>
      <c r="D18" s="33">
        <f>IFERROR(D17/D4,0)</f>
        <v>0.15180340264650286</v>
      </c>
      <c r="E18" s="33">
        <f>IFERROR(E17/E4,0)</f>
        <v>0.15495948056217634</v>
      </c>
      <c r="F18" s="33">
        <f>IFERROR(F17/F4,0)</f>
        <v>0.15770389614102295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40" customWidth="1"/>
    <col min="2" max="6" width="16" customWidth="1"/>
  </cols>
  <sheetData>
    <row r="1" spans="1:6" ht="15" customHeight="1" x14ac:dyDescent="0.25">
      <c r="A1" s="15" t="s">
        <v>46</v>
      </c>
      <c r="B1" s="15"/>
      <c r="C1" s="15"/>
      <c r="D1" s="15"/>
      <c r="E1" s="15"/>
      <c r="F1" s="15"/>
    </row>
    <row r="3" spans="1:6" ht="15" customHeight="1" x14ac:dyDescent="0.25">
      <c r="A3" s="16" t="s">
        <v>1</v>
      </c>
      <c r="B3" s="16" t="s">
        <v>19</v>
      </c>
      <c r="C3" s="16" t="s">
        <v>20</v>
      </c>
      <c r="D3" s="16" t="s">
        <v>21</v>
      </c>
      <c r="E3" s="16" t="s">
        <v>22</v>
      </c>
      <c r="F3" s="16" t="s">
        <v>23</v>
      </c>
    </row>
    <row r="4" spans="1:6" ht="18" customHeight="1" x14ac:dyDescent="0.25">
      <c r="A4" s="36" t="s">
        <v>47</v>
      </c>
      <c r="B4" s="36"/>
      <c r="C4" s="36"/>
      <c r="D4" s="36"/>
      <c r="E4" s="36"/>
      <c r="F4" s="36"/>
    </row>
    <row r="5" spans="1:6" ht="18" customHeight="1" x14ac:dyDescent="0.25">
      <c r="A5" s="30" t="s">
        <v>48</v>
      </c>
      <c r="B5" s="30"/>
      <c r="C5" s="30"/>
      <c r="D5" s="30"/>
      <c r="E5" s="30"/>
      <c r="F5" s="30"/>
    </row>
    <row r="6" spans="1:6" ht="18" customHeight="1" x14ac:dyDescent="0.25">
      <c r="A6" s="21" t="s">
        <v>49</v>
      </c>
      <c r="B6" s="37">
        <f>'Cash Flow'!B17</f>
        <v>3080</v>
      </c>
      <c r="C6" s="37">
        <f>'Cash Flow'!C17</f>
        <v>4538</v>
      </c>
      <c r="D6" s="37">
        <f>'Cash Flow'!D17</f>
        <v>6430.7</v>
      </c>
      <c r="E6" s="37">
        <f>'Cash Flow'!E17</f>
        <v>8823.3049999999967</v>
      </c>
      <c r="F6" s="37">
        <f>'Cash Flow'!F17</f>
        <v>11790.800749999995</v>
      </c>
    </row>
    <row r="7" spans="1:6" ht="18" customHeight="1" x14ac:dyDescent="0.25">
      <c r="A7" s="21" t="s">
        <v>50</v>
      </c>
      <c r="B7" s="37">
        <f>'P&amp;L'!B4*0.15</f>
        <v>3000</v>
      </c>
      <c r="C7" s="37">
        <f>'P&amp;L'!C4*0.15</f>
        <v>3450</v>
      </c>
      <c r="D7" s="37">
        <f>'P&amp;L'!D4*0.15</f>
        <v>3967.4999999999991</v>
      </c>
      <c r="E7" s="37">
        <f>'P&amp;L'!E4*0.15</f>
        <v>4562.6249999999991</v>
      </c>
      <c r="F7" s="37">
        <f>'P&amp;L'!F4*0.15</f>
        <v>5247.0187499999975</v>
      </c>
    </row>
    <row r="8" spans="1:6" ht="18" customHeight="1" x14ac:dyDescent="0.25">
      <c r="A8" s="21" t="s">
        <v>51</v>
      </c>
      <c r="B8" s="37">
        <f>-'P&amp;L'!B5*0.2</f>
        <v>2400</v>
      </c>
      <c r="C8" s="37">
        <f>-'P&amp;L'!C5*0.2</f>
        <v>2760</v>
      </c>
      <c r="D8" s="37">
        <f>-'P&amp;L'!D5*0.2</f>
        <v>3173.9999999999995</v>
      </c>
      <c r="E8" s="37">
        <f>-'P&amp;L'!E5*0.2</f>
        <v>3650.0999999999995</v>
      </c>
      <c r="F8" s="37">
        <f>-'P&amp;L'!F5*0.2</f>
        <v>4197.614999999998</v>
      </c>
    </row>
    <row r="9" spans="1:6" ht="18" customHeight="1" x14ac:dyDescent="0.25">
      <c r="A9" s="21" t="s">
        <v>52</v>
      </c>
      <c r="B9" s="37">
        <f>'P&amp;L'!B4*0.03</f>
        <v>600</v>
      </c>
      <c r="C9" s="37">
        <f>'P&amp;L'!C4*0.03</f>
        <v>690</v>
      </c>
      <c r="D9" s="37">
        <f>'P&amp;L'!D4*0.03</f>
        <v>793.49999999999989</v>
      </c>
      <c r="E9" s="37">
        <f>'P&amp;L'!E4*0.03</f>
        <v>912.52499999999975</v>
      </c>
      <c r="F9" s="37">
        <f>'P&amp;L'!F4*0.03</f>
        <v>1049.4037499999995</v>
      </c>
    </row>
    <row r="10" spans="1:6" ht="18" customHeight="1" x14ac:dyDescent="0.25">
      <c r="A10" s="30" t="s">
        <v>53</v>
      </c>
      <c r="B10" s="31">
        <f>SUM(B6:B9)</f>
        <v>9080</v>
      </c>
      <c r="C10" s="31">
        <f>SUM(C6:C9)</f>
        <v>11438</v>
      </c>
      <c r="D10" s="31">
        <f>SUM(D6:D9)</f>
        <v>14365.699999999999</v>
      </c>
      <c r="E10" s="31">
        <f>SUM(E6:E9)</f>
        <v>17948.554999999997</v>
      </c>
      <c r="F10" s="31">
        <f>SUM(F6:F9)</f>
        <v>22284.838249999986</v>
      </c>
    </row>
    <row r="11" spans="1:6" ht="18" customHeight="1" x14ac:dyDescent="0.25">
      <c r="A11" s="30" t="s">
        <v>54</v>
      </c>
      <c r="B11" s="30"/>
      <c r="C11" s="30"/>
      <c r="D11" s="30"/>
      <c r="E11" s="30"/>
      <c r="F11" s="30"/>
    </row>
    <row r="12" spans="1:6" ht="18" customHeight="1" x14ac:dyDescent="0.25">
      <c r="A12" s="21" t="s">
        <v>55</v>
      </c>
      <c r="B12" s="37">
        <f>'Giả Định'!$B$12</f>
        <v>1000</v>
      </c>
      <c r="C12" s="37">
        <f>B12+'Giả Định'!$B$12</f>
        <v>2000</v>
      </c>
      <c r="D12" s="37">
        <f>C12+'Giả Định'!$B$12</f>
        <v>3000</v>
      </c>
      <c r="E12" s="37">
        <f>D12+'Giả Định'!$B$12</f>
        <v>4000</v>
      </c>
      <c r="F12" s="37">
        <f>E12+'Giả Định'!$B$12</f>
        <v>5000</v>
      </c>
    </row>
    <row r="13" spans="1:6" ht="18" customHeight="1" x14ac:dyDescent="0.25">
      <c r="A13" s="21" t="s">
        <v>56</v>
      </c>
      <c r="B13" s="37">
        <f>'P&amp;L'!B12</f>
        <v>-500</v>
      </c>
      <c r="C13" s="37">
        <f>B13+'P&amp;L'!C12</f>
        <v>-1000</v>
      </c>
      <c r="D13" s="37">
        <f>C13+'P&amp;L'!D12</f>
        <v>-1500</v>
      </c>
      <c r="E13" s="37">
        <f>D13+'P&amp;L'!E12</f>
        <v>-2000</v>
      </c>
      <c r="F13" s="37">
        <f>E13+'P&amp;L'!F12</f>
        <v>-2500</v>
      </c>
    </row>
    <row r="14" spans="1:6" ht="18" customHeight="1" x14ac:dyDescent="0.25">
      <c r="A14" s="21" t="s">
        <v>57</v>
      </c>
      <c r="B14" s="37">
        <f>B12+B13</f>
        <v>500</v>
      </c>
      <c r="C14" s="37">
        <f>C12+C13</f>
        <v>1000</v>
      </c>
      <c r="D14" s="37">
        <f>D12+D13</f>
        <v>1500</v>
      </c>
      <c r="E14" s="37">
        <f>E12+E13</f>
        <v>2000</v>
      </c>
      <c r="F14" s="37">
        <f>F12+F13</f>
        <v>2500</v>
      </c>
    </row>
    <row r="15" spans="1:6" ht="18" customHeight="1" x14ac:dyDescent="0.25">
      <c r="A15" s="30" t="s">
        <v>58</v>
      </c>
      <c r="B15" s="31">
        <f>B29-B10-B14</f>
        <v>6180</v>
      </c>
      <c r="C15" s="31">
        <f>C29-C10-C14</f>
        <v>10138</v>
      </c>
      <c r="D15" s="31">
        <f>D29-D10-D14</f>
        <v>14740.700000000003</v>
      </c>
      <c r="E15" s="31">
        <f>E29-E10-E14</f>
        <v>20084.805000000004</v>
      </c>
      <c r="F15" s="31">
        <f>F29-F10-F14</f>
        <v>26281.525750000008</v>
      </c>
    </row>
    <row r="16" spans="1:6" ht="18" customHeight="1" x14ac:dyDescent="0.25">
      <c r="A16" s="34" t="s">
        <v>59</v>
      </c>
      <c r="B16" s="35">
        <f>B14+B15</f>
        <v>6680</v>
      </c>
      <c r="C16" s="35">
        <f>C14+C15</f>
        <v>11138</v>
      </c>
      <c r="D16" s="35">
        <f>D14+D15</f>
        <v>16240.700000000003</v>
      </c>
      <c r="E16" s="35">
        <f>E14+E15</f>
        <v>22084.805000000004</v>
      </c>
      <c r="F16" s="35">
        <f>F14+F15</f>
        <v>28781.525750000008</v>
      </c>
    </row>
    <row r="17" spans="1:6" ht="18" customHeight="1" x14ac:dyDescent="0.25">
      <c r="A17" s="21"/>
      <c r="B17" s="21">
        <f>B10+B16</f>
        <v>15760</v>
      </c>
      <c r="C17" s="21">
        <f>C10+C16</f>
        <v>22576</v>
      </c>
      <c r="D17" s="21">
        <f>D10+D16</f>
        <v>30606.400000000001</v>
      </c>
      <c r="E17" s="21">
        <f>E10+E16</f>
        <v>40033.360000000001</v>
      </c>
      <c r="F17" s="21">
        <f>F10+F16</f>
        <v>51066.363999999994</v>
      </c>
    </row>
    <row r="18" spans="1:6" ht="18" customHeight="1" x14ac:dyDescent="0.25">
      <c r="A18" s="36" t="s">
        <v>60</v>
      </c>
      <c r="B18" s="36"/>
      <c r="C18" s="36"/>
      <c r="D18" s="36"/>
      <c r="E18" s="36"/>
      <c r="F18" s="36"/>
    </row>
    <row r="19" spans="1:6" ht="18" customHeight="1" x14ac:dyDescent="0.25">
      <c r="A19" s="30" t="s">
        <v>61</v>
      </c>
      <c r="B19" s="30"/>
      <c r="C19" s="30"/>
      <c r="D19" s="30"/>
      <c r="E19" s="30"/>
      <c r="F19" s="30"/>
    </row>
    <row r="20" spans="1:6" ht="18" customHeight="1" x14ac:dyDescent="0.25">
      <c r="A20" s="21" t="s">
        <v>62</v>
      </c>
      <c r="B20" s="37">
        <f>-'P&amp;L'!B5*0.1</f>
        <v>1200</v>
      </c>
      <c r="C20" s="37">
        <f>-'P&amp;L'!C5*0.1</f>
        <v>1380</v>
      </c>
      <c r="D20" s="37">
        <f>-'P&amp;L'!D5*0.1</f>
        <v>1586.9999999999998</v>
      </c>
      <c r="E20" s="37">
        <f>-'P&amp;L'!E5*0.1</f>
        <v>1825.0499999999997</v>
      </c>
      <c r="F20" s="37">
        <f>-'P&amp;L'!F5*0.1</f>
        <v>2098.807499999999</v>
      </c>
    </row>
    <row r="21" spans="1:6" ht="18" customHeight="1" x14ac:dyDescent="0.25">
      <c r="A21" s="21" t="s">
        <v>63</v>
      </c>
      <c r="B21" s="37">
        <f>'Giả Định'!$B$16*0.2</f>
        <v>1000</v>
      </c>
      <c r="C21" s="37">
        <f t="shared" ref="C21:F22" si="0">B21</f>
        <v>1000</v>
      </c>
      <c r="D21" s="37">
        <f t="shared" si="0"/>
        <v>1000</v>
      </c>
      <c r="E21" s="37">
        <f t="shared" si="0"/>
        <v>1000</v>
      </c>
      <c r="F21" s="37">
        <f t="shared" si="0"/>
        <v>1000</v>
      </c>
    </row>
    <row r="22" spans="1:6" ht="18" customHeight="1" x14ac:dyDescent="0.25">
      <c r="A22" s="21" t="s">
        <v>64</v>
      </c>
      <c r="B22" s="37">
        <f>'Giả Định'!$B$16</f>
        <v>5000</v>
      </c>
      <c r="C22" s="37">
        <f t="shared" si="0"/>
        <v>5000</v>
      </c>
      <c r="D22" s="37">
        <f t="shared" si="0"/>
        <v>5000</v>
      </c>
      <c r="E22" s="37">
        <f t="shared" si="0"/>
        <v>5000</v>
      </c>
      <c r="F22" s="37">
        <f t="shared" si="0"/>
        <v>5000</v>
      </c>
    </row>
    <row r="23" spans="1:6" ht="18" customHeight="1" x14ac:dyDescent="0.25">
      <c r="A23" s="30" t="s">
        <v>65</v>
      </c>
      <c r="B23" s="31">
        <f>SUM(B20:B22)</f>
        <v>7200</v>
      </c>
      <c r="C23" s="31">
        <f>SUM(C20:C22)</f>
        <v>7380</v>
      </c>
      <c r="D23" s="31">
        <f>SUM(D20:D22)</f>
        <v>7587</v>
      </c>
      <c r="E23" s="31">
        <f>SUM(E20:E22)</f>
        <v>7825.0499999999993</v>
      </c>
      <c r="F23" s="31">
        <f>SUM(F20:F22)</f>
        <v>8098.807499999999</v>
      </c>
    </row>
    <row r="24" spans="1:6" ht="18" customHeight="1" x14ac:dyDescent="0.25">
      <c r="A24" s="30" t="s">
        <v>66</v>
      </c>
      <c r="B24" s="30"/>
      <c r="C24" s="30"/>
      <c r="D24" s="30"/>
      <c r="E24" s="30"/>
      <c r="F24" s="30"/>
    </row>
    <row r="25" spans="1:6" ht="18" customHeight="1" x14ac:dyDescent="0.25">
      <c r="A25" s="21" t="s">
        <v>67</v>
      </c>
      <c r="B25" s="37">
        <f>'Giả Định'!$B$17</f>
        <v>10000</v>
      </c>
      <c r="C25" s="37">
        <f>B25</f>
        <v>10000</v>
      </c>
      <c r="D25" s="37">
        <f>C25</f>
        <v>10000</v>
      </c>
      <c r="E25" s="37">
        <f>D25</f>
        <v>10000</v>
      </c>
      <c r="F25" s="37">
        <f>E25</f>
        <v>10000</v>
      </c>
    </row>
    <row r="26" spans="1:6" ht="18" customHeight="1" x14ac:dyDescent="0.25">
      <c r="A26" s="21" t="s">
        <v>68</v>
      </c>
      <c r="B26" s="37">
        <f>'P&amp;L'!B17</f>
        <v>2880</v>
      </c>
      <c r="C26" s="37">
        <f>B26+'P&amp;L'!C17</f>
        <v>6288</v>
      </c>
      <c r="D26" s="37">
        <f>C26+'P&amp;L'!D17</f>
        <v>10303.200000000001</v>
      </c>
      <c r="E26" s="37">
        <f>D26+'P&amp;L'!E17</f>
        <v>15016.679999999998</v>
      </c>
      <c r="F26" s="37">
        <f>E26+'P&amp;L'!F17</f>
        <v>20533.181999999997</v>
      </c>
    </row>
    <row r="27" spans="1:6" ht="18" customHeight="1" x14ac:dyDescent="0.25">
      <c r="A27" s="30" t="s">
        <v>69</v>
      </c>
      <c r="B27" s="31">
        <f t="shared" ref="B27:F28" si="1">B25+B26</f>
        <v>12880</v>
      </c>
      <c r="C27" s="31">
        <f t="shared" si="1"/>
        <v>16288</v>
      </c>
      <c r="D27" s="31">
        <f t="shared" si="1"/>
        <v>20303.2</v>
      </c>
      <c r="E27" s="31">
        <f t="shared" si="1"/>
        <v>25016.68</v>
      </c>
      <c r="F27" s="31">
        <f t="shared" si="1"/>
        <v>30533.181999999997</v>
      </c>
    </row>
    <row r="28" spans="1:6" ht="18" customHeight="1" x14ac:dyDescent="0.25">
      <c r="A28" s="34" t="s">
        <v>70</v>
      </c>
      <c r="B28" s="35">
        <f t="shared" si="1"/>
        <v>15760</v>
      </c>
      <c r="C28" s="35">
        <f t="shared" si="1"/>
        <v>22576</v>
      </c>
      <c r="D28" s="35">
        <f t="shared" si="1"/>
        <v>30606.400000000001</v>
      </c>
      <c r="E28" s="35">
        <f t="shared" si="1"/>
        <v>40033.360000000001</v>
      </c>
      <c r="F28" s="35">
        <f t="shared" si="1"/>
        <v>51066.363999999994</v>
      </c>
    </row>
    <row r="29" spans="1:6" ht="18" customHeight="1" x14ac:dyDescent="0.25">
      <c r="A29" s="21"/>
      <c r="B29" s="21">
        <f>B24+B28</f>
        <v>15760</v>
      </c>
      <c r="C29" s="21">
        <f>C24+C28</f>
        <v>22576</v>
      </c>
      <c r="D29" s="21">
        <f>D24+D28</f>
        <v>30606.400000000001</v>
      </c>
      <c r="E29" s="21">
        <f>E24+E28</f>
        <v>40033.360000000001</v>
      </c>
      <c r="F29" s="21">
        <f>F24+F28</f>
        <v>51066.363999999994</v>
      </c>
    </row>
    <row r="30" spans="1:6" ht="18" customHeight="1" x14ac:dyDescent="0.25">
      <c r="A30" s="38" t="s">
        <v>71</v>
      </c>
      <c r="B30" s="39">
        <f t="shared" ref="B30:F31" si="2">B16-B28</f>
        <v>-9080</v>
      </c>
      <c r="C30" s="39">
        <f t="shared" si="2"/>
        <v>-11438</v>
      </c>
      <c r="D30" s="39">
        <f t="shared" si="2"/>
        <v>-14365.699999999999</v>
      </c>
      <c r="E30" s="39">
        <f t="shared" si="2"/>
        <v>-17948.554999999997</v>
      </c>
      <c r="F30" s="39">
        <f t="shared" si="2"/>
        <v>-22284.838249999986</v>
      </c>
    </row>
    <row r="31" spans="1:6" ht="15" customHeight="1" x14ac:dyDescent="0.25">
      <c r="B31">
        <f t="shared" si="2"/>
        <v>0</v>
      </c>
      <c r="C31">
        <f t="shared" si="2"/>
        <v>0</v>
      </c>
      <c r="D31">
        <f t="shared" si="2"/>
        <v>0</v>
      </c>
      <c r="E31">
        <f t="shared" si="2"/>
        <v>0</v>
      </c>
      <c r="F31">
        <f t="shared" si="2"/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9" sqref="A9"/>
    </sheetView>
  </sheetViews>
  <sheetFormatPr defaultColWidth="8.7109375" defaultRowHeight="15" x14ac:dyDescent="0.25"/>
  <cols>
    <col min="1" max="1" width="50" customWidth="1"/>
    <col min="2" max="6" width="16" customWidth="1"/>
  </cols>
  <sheetData>
    <row r="1" spans="1:6" ht="15" customHeight="1" x14ac:dyDescent="0.25">
      <c r="A1" s="15" t="s">
        <v>72</v>
      </c>
      <c r="B1" s="15"/>
      <c r="C1" s="15"/>
      <c r="D1" s="15"/>
      <c r="E1" s="15"/>
      <c r="F1" s="15"/>
    </row>
    <row r="3" spans="1:6" ht="15" customHeight="1" x14ac:dyDescent="0.25">
      <c r="A3" s="16" t="s">
        <v>1</v>
      </c>
      <c r="B3" s="16" t="s">
        <v>19</v>
      </c>
      <c r="C3" s="16" t="s">
        <v>20</v>
      </c>
      <c r="D3" s="16" t="s">
        <v>21</v>
      </c>
      <c r="E3" s="16" t="s">
        <v>22</v>
      </c>
      <c r="F3" s="16" t="s">
        <v>23</v>
      </c>
    </row>
    <row r="4" spans="1:6" ht="18" customHeight="1" x14ac:dyDescent="0.25">
      <c r="A4" s="36" t="s">
        <v>73</v>
      </c>
      <c r="B4" s="36"/>
      <c r="C4" s="36"/>
      <c r="D4" s="36"/>
      <c r="E4" s="36"/>
      <c r="F4" s="36"/>
    </row>
    <row r="5" spans="1:6" ht="18" customHeight="1" x14ac:dyDescent="0.25">
      <c r="A5" s="21" t="s">
        <v>74</v>
      </c>
      <c r="B5" s="37">
        <f>'P&amp;L'!B17</f>
        <v>2880</v>
      </c>
      <c r="C5" s="37">
        <f>'P&amp;L'!C17</f>
        <v>3408</v>
      </c>
      <c r="D5" s="37">
        <f>'P&amp;L'!D17</f>
        <v>4015.2</v>
      </c>
      <c r="E5" s="37">
        <f>'P&amp;L'!E17</f>
        <v>4713.4799999999977</v>
      </c>
      <c r="F5" s="37">
        <f>'P&amp;L'!F17</f>
        <v>5516.5019999999986</v>
      </c>
    </row>
    <row r="6" spans="1:6" ht="18" customHeight="1" x14ac:dyDescent="0.25">
      <c r="A6" s="21" t="s">
        <v>75</v>
      </c>
      <c r="B6" s="37">
        <f>-'P&amp;L'!B12</f>
        <v>500</v>
      </c>
      <c r="C6" s="37">
        <f>-'P&amp;L'!C12</f>
        <v>500</v>
      </c>
      <c r="D6" s="37">
        <f>-'P&amp;L'!D12</f>
        <v>500</v>
      </c>
      <c r="E6" s="37">
        <f>-'P&amp;L'!E12</f>
        <v>500</v>
      </c>
      <c r="F6" s="37">
        <f>-'P&amp;L'!F12</f>
        <v>500</v>
      </c>
    </row>
    <row r="7" spans="1:6" ht="18" customHeight="1" x14ac:dyDescent="0.25">
      <c r="A7" s="21" t="s">
        <v>76</v>
      </c>
      <c r="B7" s="37">
        <f>-'P&amp;L'!B4*'Giả Định'!$B$13</f>
        <v>-1000</v>
      </c>
      <c r="C7" s="37">
        <f>-'P&amp;L'!C4*'Giả Định'!$B$13</f>
        <v>-1150</v>
      </c>
      <c r="D7" s="37">
        <f>-'P&amp;L'!D4*'Giả Định'!$B$13</f>
        <v>-1322.5</v>
      </c>
      <c r="E7" s="37">
        <f>-'P&amp;L'!E4*'Giả Định'!$B$13</f>
        <v>-1520.8749999999998</v>
      </c>
      <c r="F7" s="37">
        <f>-'P&amp;L'!F4*'Giả Định'!$B$13</f>
        <v>-1749.0062499999995</v>
      </c>
    </row>
    <row r="8" spans="1:6" ht="18" customHeight="1" x14ac:dyDescent="0.25">
      <c r="A8" s="30" t="s">
        <v>77</v>
      </c>
      <c r="B8" s="31">
        <f>SUM(B5:B7)</f>
        <v>2380</v>
      </c>
      <c r="C8" s="31">
        <f>SUM(C5:C7)</f>
        <v>2758</v>
      </c>
      <c r="D8" s="31">
        <f>SUM(D5:D7)</f>
        <v>3192.7</v>
      </c>
      <c r="E8" s="31">
        <f>SUM(E5:E7)</f>
        <v>3692.6049999999977</v>
      </c>
      <c r="F8" s="31">
        <f>SUM(F5:F7)</f>
        <v>4267.4957499999991</v>
      </c>
    </row>
    <row r="9" spans="1:6" ht="18" customHeight="1" x14ac:dyDescent="0.25">
      <c r="A9" s="21"/>
      <c r="B9" s="21"/>
      <c r="C9" s="21"/>
      <c r="D9" s="21"/>
      <c r="E9" s="21"/>
      <c r="F9" s="21"/>
    </row>
    <row r="10" spans="1:6" ht="18" customHeight="1" x14ac:dyDescent="0.25">
      <c r="A10" s="36" t="s">
        <v>78</v>
      </c>
      <c r="B10" s="36"/>
      <c r="C10" s="36"/>
      <c r="D10" s="36"/>
      <c r="E10" s="36"/>
      <c r="F10" s="36"/>
    </row>
    <row r="11" spans="1:6" ht="18" customHeight="1" x14ac:dyDescent="0.25">
      <c r="A11" s="21" t="s">
        <v>79</v>
      </c>
      <c r="B11" s="37">
        <f>-'Giả Định'!$B$12</f>
        <v>-1000</v>
      </c>
      <c r="C11" s="37">
        <f>-'Giả Định'!$B$12</f>
        <v>-1000</v>
      </c>
      <c r="D11" s="37">
        <f>-'Giả Định'!$B$12</f>
        <v>-1000</v>
      </c>
      <c r="E11" s="37">
        <f>-'Giả Định'!$B$12</f>
        <v>-1000</v>
      </c>
      <c r="F11" s="37">
        <f>-'Giả Định'!$B$12</f>
        <v>-1000</v>
      </c>
    </row>
    <row r="12" spans="1:6" ht="18" customHeight="1" x14ac:dyDescent="0.25">
      <c r="A12" s="30" t="s">
        <v>80</v>
      </c>
      <c r="B12" s="31">
        <f>B11</f>
        <v>-1000</v>
      </c>
      <c r="C12" s="31">
        <f>C11</f>
        <v>-1000</v>
      </c>
      <c r="D12" s="31">
        <f>D11</f>
        <v>-1000</v>
      </c>
      <c r="E12" s="31">
        <f>E11</f>
        <v>-1000</v>
      </c>
      <c r="F12" s="31">
        <f>F11</f>
        <v>-1000</v>
      </c>
    </row>
    <row r="13" spans="1:6" ht="18" customHeight="1" x14ac:dyDescent="0.25">
      <c r="A13" s="21"/>
      <c r="B13" s="21"/>
      <c r="C13" s="21"/>
      <c r="D13" s="21"/>
      <c r="E13" s="21"/>
      <c r="F13" s="21"/>
    </row>
    <row r="14" spans="1:6" ht="18" customHeight="1" x14ac:dyDescent="0.25">
      <c r="A14" s="36" t="s">
        <v>81</v>
      </c>
      <c r="B14" s="36"/>
      <c r="C14" s="36"/>
      <c r="D14" s="36"/>
      <c r="E14" s="36"/>
      <c r="F14" s="36"/>
    </row>
    <row r="15" spans="1:6" ht="18" customHeight="1" x14ac:dyDescent="0.25">
      <c r="A15" s="21" t="s">
        <v>82</v>
      </c>
      <c r="B15" s="37">
        <f>'P&amp;L'!B14</f>
        <v>-300</v>
      </c>
      <c r="C15" s="37">
        <f>'P&amp;L'!C14</f>
        <v>-300</v>
      </c>
      <c r="D15" s="37">
        <f>'P&amp;L'!D14</f>
        <v>-300</v>
      </c>
      <c r="E15" s="37">
        <f>'P&amp;L'!E14</f>
        <v>-300</v>
      </c>
      <c r="F15" s="37">
        <f>'P&amp;L'!F14</f>
        <v>-300</v>
      </c>
    </row>
    <row r="16" spans="1:6" ht="18" customHeight="1" x14ac:dyDescent="0.25">
      <c r="A16" s="30" t="s">
        <v>83</v>
      </c>
      <c r="B16" s="31">
        <f>B15</f>
        <v>-300</v>
      </c>
      <c r="C16" s="31">
        <f>C15</f>
        <v>-300</v>
      </c>
      <c r="D16" s="31">
        <f>D15</f>
        <v>-300</v>
      </c>
      <c r="E16" s="31">
        <f>E15</f>
        <v>-300</v>
      </c>
      <c r="F16" s="31">
        <f>F15</f>
        <v>-300</v>
      </c>
    </row>
    <row r="17" spans="1:6" ht="18" customHeight="1" x14ac:dyDescent="0.25">
      <c r="A17" s="34" t="s">
        <v>84</v>
      </c>
      <c r="B17" s="35">
        <f>'Giả Định'!$B$15+B8+B12+B16</f>
        <v>3080</v>
      </c>
      <c r="C17" s="35">
        <f>B17+C8+C12+C16</f>
        <v>4538</v>
      </c>
      <c r="D17" s="35">
        <f>C17+D8+D12+D16</f>
        <v>6430.7</v>
      </c>
      <c r="E17" s="35">
        <f>D17+E8+E12+E16</f>
        <v>8823.3049999999967</v>
      </c>
      <c r="F17" s="35">
        <f>E17+F8+F12+F16</f>
        <v>11790.800749999995</v>
      </c>
    </row>
    <row r="18" spans="1:6" ht="18" customHeight="1" x14ac:dyDescent="0.25">
      <c r="A18" s="21"/>
      <c r="B18" s="21"/>
      <c r="C18" s="21"/>
      <c r="D18" s="21"/>
      <c r="E18" s="21"/>
      <c r="F18" s="21"/>
    </row>
    <row r="19" spans="1:6" ht="18" customHeight="1" x14ac:dyDescent="0.25">
      <c r="A19" s="38" t="s">
        <v>85</v>
      </c>
      <c r="B19" s="39">
        <f>B17-'Balance Sheet'!B6</f>
        <v>0</v>
      </c>
      <c r="C19" s="39">
        <f>C17-'Balance Sheet'!C6</f>
        <v>0</v>
      </c>
      <c r="D19" s="39">
        <f>D17-'Balance Sheet'!D6</f>
        <v>0</v>
      </c>
      <c r="E19" s="39">
        <f>E17-'Balance Sheet'!E6</f>
        <v>0</v>
      </c>
      <c r="F19" s="39">
        <f>F17-'Balance Sheet'!F6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38" customWidth="1"/>
    <col min="2" max="6" width="16" customWidth="1"/>
  </cols>
  <sheetData>
    <row r="1" spans="1:6" ht="15" customHeight="1" x14ac:dyDescent="0.25">
      <c r="A1" s="15" t="s">
        <v>86</v>
      </c>
      <c r="B1" s="15"/>
      <c r="C1" s="15"/>
      <c r="D1" s="15"/>
      <c r="E1" s="15"/>
      <c r="F1" s="15"/>
    </row>
    <row r="3" spans="1:6" ht="15" customHeight="1" x14ac:dyDescent="0.25">
      <c r="A3" s="16" t="s">
        <v>87</v>
      </c>
      <c r="B3" s="16" t="s">
        <v>19</v>
      </c>
      <c r="C3" s="16" t="s">
        <v>20</v>
      </c>
      <c r="D3" s="16" t="s">
        <v>21</v>
      </c>
      <c r="E3" s="16" t="s">
        <v>22</v>
      </c>
      <c r="F3" s="16" t="s">
        <v>23</v>
      </c>
    </row>
    <row r="4" spans="1:6" ht="18" customHeight="1" x14ac:dyDescent="0.25">
      <c r="A4" s="36" t="s">
        <v>88</v>
      </c>
      <c r="B4" s="36"/>
      <c r="C4" s="36"/>
      <c r="D4" s="36"/>
      <c r="E4" s="36"/>
      <c r="F4" s="36"/>
    </row>
    <row r="5" spans="1:6" ht="18" customHeight="1" x14ac:dyDescent="0.25">
      <c r="A5" s="37" t="s">
        <v>89</v>
      </c>
      <c r="B5" s="37">
        <f>'P&amp;L'!B4</f>
        <v>20000</v>
      </c>
      <c r="C5" s="37">
        <f>'P&amp;L'!C4</f>
        <v>23000</v>
      </c>
      <c r="D5" s="37">
        <f>'P&amp;L'!D4</f>
        <v>26449.999999999996</v>
      </c>
      <c r="E5" s="37">
        <f>'P&amp;L'!E4</f>
        <v>30417.499999999993</v>
      </c>
      <c r="F5" s="37">
        <f>'P&amp;L'!F4</f>
        <v>34980.124999999985</v>
      </c>
    </row>
    <row r="6" spans="1:6" ht="18" customHeight="1" x14ac:dyDescent="0.25">
      <c r="A6" s="21" t="s">
        <v>4</v>
      </c>
      <c r="B6" s="21" t="s">
        <v>90</v>
      </c>
      <c r="C6" s="40">
        <f>IFERROR((C5-B5)/B5,0)</f>
        <v>0.15</v>
      </c>
      <c r="D6" s="40">
        <f>IFERROR((D5-C5)/C5,0)</f>
        <v>0.14999999999999986</v>
      </c>
      <c r="E6" s="40">
        <f>IFERROR((E5-D5)/D5,0)</f>
        <v>0.14999999999999988</v>
      </c>
      <c r="F6" s="40">
        <f>IFERROR((F5-E5)/E5,0)</f>
        <v>0.1499999999999998</v>
      </c>
    </row>
    <row r="7" spans="1:6" ht="18" customHeight="1" x14ac:dyDescent="0.25">
      <c r="A7" s="36" t="s">
        <v>91</v>
      </c>
      <c r="B7" s="36"/>
      <c r="C7" s="36"/>
      <c r="D7" s="36"/>
      <c r="E7" s="36"/>
      <c r="F7" s="36"/>
    </row>
    <row r="8" spans="1:6" ht="18" customHeight="1" x14ac:dyDescent="0.25">
      <c r="A8" s="21" t="s">
        <v>92</v>
      </c>
      <c r="B8" s="40">
        <f>'P&amp;L'!B7</f>
        <v>0.4</v>
      </c>
      <c r="C8" s="40">
        <f>'P&amp;L'!C7</f>
        <v>0.4</v>
      </c>
      <c r="D8" s="40">
        <f>'P&amp;L'!D7</f>
        <v>0.40000000000000008</v>
      </c>
      <c r="E8" s="40">
        <f>'P&amp;L'!E7</f>
        <v>0.39999999999999997</v>
      </c>
      <c r="F8" s="40">
        <f>'P&amp;L'!F7</f>
        <v>0.4</v>
      </c>
    </row>
    <row r="9" spans="1:6" ht="18" customHeight="1" x14ac:dyDescent="0.25">
      <c r="A9" s="21" t="s">
        <v>93</v>
      </c>
      <c r="B9" s="40">
        <f>'P&amp;L'!B11</f>
        <v>0.22</v>
      </c>
      <c r="C9" s="40">
        <f>'P&amp;L'!C11</f>
        <v>0.22</v>
      </c>
      <c r="D9" s="40">
        <f>'P&amp;L'!D11</f>
        <v>0.22000000000000003</v>
      </c>
      <c r="E9" s="40">
        <f>'P&amp;L'!E11</f>
        <v>0.21999999999999995</v>
      </c>
      <c r="F9" s="40">
        <f>'P&amp;L'!F11</f>
        <v>0.22000000000000003</v>
      </c>
    </row>
    <row r="10" spans="1:6" ht="18" customHeight="1" x14ac:dyDescent="0.25">
      <c r="A10" s="21" t="s">
        <v>94</v>
      </c>
      <c r="B10" s="40">
        <f>'P&amp;L'!B18</f>
        <v>0.14399999999999999</v>
      </c>
      <c r="C10" s="40">
        <f>'P&amp;L'!C18</f>
        <v>0.14817391304347827</v>
      </c>
      <c r="D10" s="40">
        <f>'P&amp;L'!D18</f>
        <v>0.15180340264650286</v>
      </c>
      <c r="E10" s="40">
        <f>'P&amp;L'!E18</f>
        <v>0.15495948056217634</v>
      </c>
      <c r="F10" s="40">
        <f>'P&amp;L'!F18</f>
        <v>0.15770389614102295</v>
      </c>
    </row>
    <row r="11" spans="1:6" ht="18" customHeight="1" x14ac:dyDescent="0.25">
      <c r="A11" s="36" t="s">
        <v>95</v>
      </c>
      <c r="B11" s="36"/>
      <c r="C11" s="36"/>
      <c r="D11" s="36"/>
      <c r="E11" s="36"/>
      <c r="F11" s="36"/>
    </row>
    <row r="12" spans="1:6" ht="18" customHeight="1" x14ac:dyDescent="0.25">
      <c r="A12" s="37" t="s">
        <v>96</v>
      </c>
      <c r="B12" s="37">
        <f>'Balance Sheet'!B17</f>
        <v>15760</v>
      </c>
      <c r="C12" s="37">
        <f>'Balance Sheet'!C17</f>
        <v>22576</v>
      </c>
      <c r="D12" s="37">
        <f>'Balance Sheet'!D17</f>
        <v>30606.400000000001</v>
      </c>
      <c r="E12" s="37">
        <f>'Balance Sheet'!E17</f>
        <v>40033.360000000001</v>
      </c>
      <c r="F12" s="37">
        <f>'Balance Sheet'!F17</f>
        <v>51066.363999999994</v>
      </c>
    </row>
    <row r="13" spans="1:6" ht="18" customHeight="1" x14ac:dyDescent="0.25">
      <c r="A13" s="21" t="s">
        <v>97</v>
      </c>
      <c r="B13" s="41">
        <f>IFERROR('Balance Sheet'!B24/'Balance Sheet'!B28,0)</f>
        <v>0</v>
      </c>
      <c r="C13" s="41">
        <f>IFERROR('Balance Sheet'!C24/'Balance Sheet'!C28,0)</f>
        <v>0</v>
      </c>
      <c r="D13" s="41">
        <f>IFERROR('Balance Sheet'!D24/'Balance Sheet'!D28,0)</f>
        <v>0</v>
      </c>
      <c r="E13" s="41">
        <f>IFERROR('Balance Sheet'!E24/'Balance Sheet'!E28,0)</f>
        <v>0</v>
      </c>
      <c r="F13" s="41">
        <f>IFERROR('Balance Sheet'!F24/'Balance Sheet'!F28,0)</f>
        <v>0</v>
      </c>
    </row>
    <row r="14" spans="1:6" ht="18" customHeight="1" x14ac:dyDescent="0.25">
      <c r="A14" s="21" t="s">
        <v>98</v>
      </c>
      <c r="B14" s="40">
        <f>IFERROR('P&amp;L'!B17/'Balance Sheet'!B28,0)</f>
        <v>0.18274111675126903</v>
      </c>
      <c r="C14" s="40">
        <f>IFERROR('P&amp;L'!C17/'Balance Sheet'!C28,0)</f>
        <v>0.15095676824946846</v>
      </c>
      <c r="D14" s="40">
        <f>IFERROR('P&amp;L'!D17/'Balance Sheet'!D28,0)</f>
        <v>0.13118824820952479</v>
      </c>
      <c r="E14" s="40">
        <f>IFERROR('P&amp;L'!E17/'Balance Sheet'!E28,0)</f>
        <v>0.11773880583593277</v>
      </c>
      <c r="F14" s="40">
        <f>IFERROR('P&amp;L'!F17/'Balance Sheet'!F28,0)</f>
        <v>0.10802613634289684</v>
      </c>
    </row>
    <row r="15" spans="1:6" ht="18" customHeight="1" x14ac:dyDescent="0.25">
      <c r="A15" s="21" t="s">
        <v>99</v>
      </c>
      <c r="B15" s="40">
        <f>IFERROR('P&amp;L'!B17/'Balance Sheet'!B17,0)</f>
        <v>0.18274111675126903</v>
      </c>
      <c r="C15" s="40">
        <f>IFERROR('P&amp;L'!C17/'Balance Sheet'!C17,0)</f>
        <v>0.15095676824946846</v>
      </c>
      <c r="D15" s="40">
        <f>IFERROR('P&amp;L'!D17/'Balance Sheet'!D17,0)</f>
        <v>0.13118824820952479</v>
      </c>
      <c r="E15" s="40">
        <f>IFERROR('P&amp;L'!E17/'Balance Sheet'!E17,0)</f>
        <v>0.11773880583593277</v>
      </c>
      <c r="F15" s="40">
        <f>IFERROR('P&amp;L'!F17/'Balance Sheet'!F17,0)</f>
        <v>0.10802613634289684</v>
      </c>
    </row>
    <row r="16" spans="1:6" ht="18" customHeight="1" x14ac:dyDescent="0.25">
      <c r="A16" s="36" t="s">
        <v>100</v>
      </c>
      <c r="B16" s="36"/>
      <c r="C16" s="36"/>
      <c r="D16" s="36"/>
      <c r="E16" s="36"/>
      <c r="F16" s="36"/>
    </row>
    <row r="17" spans="1:6" ht="18" customHeight="1" x14ac:dyDescent="0.25">
      <c r="A17" s="37" t="s">
        <v>101</v>
      </c>
      <c r="B17" s="37">
        <f>'Cash Flow'!B8</f>
        <v>2380</v>
      </c>
      <c r="C17" s="37">
        <f>'Cash Flow'!C8</f>
        <v>2758</v>
      </c>
      <c r="D17" s="37">
        <f>'Cash Flow'!D8</f>
        <v>3192.7</v>
      </c>
      <c r="E17" s="37">
        <f>'Cash Flow'!E8</f>
        <v>3692.6049999999977</v>
      </c>
      <c r="F17" s="37">
        <f>'Cash Flow'!F8</f>
        <v>4267.4957499999991</v>
      </c>
    </row>
    <row r="18" spans="1:6" ht="18" customHeight="1" x14ac:dyDescent="0.25">
      <c r="A18" s="37" t="s">
        <v>102</v>
      </c>
      <c r="B18" s="37">
        <f>'Cash Flow'!B8+'Cash Flow'!B12</f>
        <v>1380</v>
      </c>
      <c r="C18" s="37">
        <f>'Cash Flow'!C8+'Cash Flow'!C12</f>
        <v>1758</v>
      </c>
      <c r="D18" s="37">
        <f>'Cash Flow'!D8+'Cash Flow'!D12</f>
        <v>2192.6999999999998</v>
      </c>
      <c r="E18" s="37">
        <f>'Cash Flow'!E8+'Cash Flow'!E12</f>
        <v>2692.6049999999977</v>
      </c>
      <c r="F18" s="37">
        <f>'Cash Flow'!F8+'Cash Flow'!F12</f>
        <v>3267.4957499999991</v>
      </c>
    </row>
    <row r="19" spans="1:6" ht="18" customHeight="1" x14ac:dyDescent="0.25">
      <c r="A19" s="37" t="s">
        <v>103</v>
      </c>
      <c r="B19" s="37">
        <f>'Cash Flow'!B17</f>
        <v>3080</v>
      </c>
      <c r="C19" s="37">
        <f>'Cash Flow'!C17</f>
        <v>4538</v>
      </c>
      <c r="D19" s="37">
        <f>'Cash Flow'!D17</f>
        <v>6430.7</v>
      </c>
      <c r="E19" s="37">
        <f>'Cash Flow'!E17</f>
        <v>8823.3049999999967</v>
      </c>
      <c r="F19" s="37">
        <f>'Cash Flow'!F17</f>
        <v>11790.800749999995</v>
      </c>
    </row>
    <row r="20" spans="1:6" ht="18" customHeight="1" x14ac:dyDescent="0.25">
      <c r="A20" s="21"/>
      <c r="B20" s="21"/>
      <c r="C20" s="21"/>
      <c r="D20" s="21"/>
      <c r="E20" s="21"/>
      <c r="F20" s="21"/>
    </row>
    <row r="21" spans="1:6" ht="18" customHeight="1" x14ac:dyDescent="0.25">
      <c r="A21" s="36" t="s">
        <v>104</v>
      </c>
      <c r="B21" s="36"/>
      <c r="C21" s="36"/>
      <c r="D21" s="36"/>
      <c r="E21" s="36"/>
      <c r="F21" s="36"/>
    </row>
    <row r="22" spans="1:6" ht="18" customHeight="1" x14ac:dyDescent="0.25">
      <c r="A22" s="39" t="s">
        <v>105</v>
      </c>
      <c r="B22" s="39">
        <f>'Balance Sheet'!B31</f>
        <v>0</v>
      </c>
      <c r="C22" s="39">
        <f>'Balance Sheet'!C31</f>
        <v>0</v>
      </c>
      <c r="D22" s="39">
        <f>'Balance Sheet'!D31</f>
        <v>0</v>
      </c>
      <c r="E22" s="39">
        <f>'Balance Sheet'!E31</f>
        <v>0</v>
      </c>
      <c r="F22" s="39">
        <f>'Balance Sheet'!F31</f>
        <v>0</v>
      </c>
    </row>
    <row r="23" spans="1:6" ht="18" customHeight="1" x14ac:dyDescent="0.25">
      <c r="A23" s="39" t="s">
        <v>106</v>
      </c>
      <c r="B23" s="39">
        <f>'Cash Flow'!B19</f>
        <v>0</v>
      </c>
      <c r="C23" s="39">
        <f>'Cash Flow'!C19</f>
        <v>0</v>
      </c>
      <c r="D23" s="39">
        <f>'Cash Flow'!D19</f>
        <v>0</v>
      </c>
      <c r="E23" s="39">
        <f>'Cash Flow'!E19</f>
        <v>0</v>
      </c>
      <c r="F23" s="39">
        <f>'Cash Flow'!F19</f>
        <v>0</v>
      </c>
    </row>
    <row r="25" spans="1:6" ht="15" customHeight="1" x14ac:dyDescent="0.25">
      <c r="A25" s="14" t="s">
        <v>107</v>
      </c>
      <c r="B25" s="14"/>
      <c r="C25" s="14"/>
      <c r="D25" s="14"/>
      <c r="E25" s="14"/>
      <c r="F25" s="14"/>
    </row>
    <row r="26" spans="1:6" ht="15" customHeight="1" x14ac:dyDescent="0.25">
      <c r="A26" s="43" t="s">
        <v>108</v>
      </c>
      <c r="B26" s="44">
        <f>'Kịch Bản'!B13</f>
        <v>21000</v>
      </c>
      <c r="C26" s="44">
        <f>'Kịch Bản'!B13</f>
        <v>21000</v>
      </c>
      <c r="D26" s="44">
        <f>'Kịch Bản'!B13</f>
        <v>21000</v>
      </c>
      <c r="E26" s="44">
        <f>'Kịch Bản'!B13</f>
        <v>21000</v>
      </c>
      <c r="F26" s="44">
        <f>'Kịch Bản'!B13</f>
        <v>21000</v>
      </c>
    </row>
    <row r="27" spans="1:6" ht="15" customHeight="1" x14ac:dyDescent="0.25">
      <c r="A27" s="45" t="s">
        <v>109</v>
      </c>
      <c r="B27" s="46">
        <f>'Kịch Bản'!D13</f>
        <v>23000</v>
      </c>
      <c r="C27" s="46">
        <f>'Kịch Bản'!D13</f>
        <v>23000</v>
      </c>
      <c r="D27" s="46">
        <f>'Kịch Bản'!D13</f>
        <v>23000</v>
      </c>
      <c r="E27" s="46">
        <f>'Kịch Bản'!D13</f>
        <v>23000</v>
      </c>
      <c r="F27" s="46">
        <f>'Kịch Bản'!D13</f>
        <v>23000</v>
      </c>
    </row>
    <row r="28" spans="1:6" ht="15" customHeight="1" x14ac:dyDescent="0.25">
      <c r="A28" s="47" t="s">
        <v>110</v>
      </c>
      <c r="B28" s="48">
        <f>'Kịch Bản'!F13</f>
        <v>25600</v>
      </c>
      <c r="C28" s="48">
        <f>'Kịch Bản'!F13</f>
        <v>25600</v>
      </c>
      <c r="D28" s="48">
        <f>'Kịch Bản'!F13</f>
        <v>25600</v>
      </c>
      <c r="E28" s="48">
        <f>'Kịch Bản'!F13</f>
        <v>25600</v>
      </c>
      <c r="F28" s="48">
        <f>'Kịch Bản'!F13</f>
        <v>25600</v>
      </c>
    </row>
    <row r="29" spans="1:6" ht="15" customHeight="1" x14ac:dyDescent="0.25">
      <c r="A29" s="43" t="s">
        <v>111</v>
      </c>
      <c r="B29" s="44">
        <f>'Kịch Bản'!B17</f>
        <v>1040</v>
      </c>
      <c r="C29" s="44">
        <f>'Kịch Bản'!B17</f>
        <v>1040</v>
      </c>
      <c r="D29" s="44">
        <f>'Kịch Bản'!B17</f>
        <v>1040</v>
      </c>
      <c r="E29" s="44">
        <f>'Kịch Bản'!B17</f>
        <v>1040</v>
      </c>
      <c r="F29" s="44">
        <f>'Kịch Bản'!B17</f>
        <v>1040</v>
      </c>
    </row>
    <row r="30" spans="1:6" ht="15" customHeight="1" x14ac:dyDescent="0.25">
      <c r="A30" s="45" t="s">
        <v>112</v>
      </c>
      <c r="B30" s="46">
        <f>'Kịch Bản'!D17</f>
        <v>3408</v>
      </c>
      <c r="C30" s="46">
        <f>'Kịch Bản'!D17</f>
        <v>3408</v>
      </c>
      <c r="D30" s="46">
        <f>'Kịch Bản'!D17</f>
        <v>3408</v>
      </c>
      <c r="E30" s="46">
        <f>'Kịch Bản'!D17</f>
        <v>3408</v>
      </c>
      <c r="F30" s="46">
        <f>'Kịch Bản'!D17</f>
        <v>3408</v>
      </c>
    </row>
    <row r="31" spans="1:6" ht="15" customHeight="1" x14ac:dyDescent="0.25">
      <c r="A31" s="47" t="s">
        <v>113</v>
      </c>
      <c r="B31" s="48">
        <f>'Kịch Bản'!F17</f>
        <v>6323.2000000000007</v>
      </c>
      <c r="C31" s="48">
        <f>'Kịch Bản'!F17</f>
        <v>6323.2000000000007</v>
      </c>
      <c r="D31" s="48">
        <f>'Kịch Bản'!F17</f>
        <v>6323.2000000000007</v>
      </c>
      <c r="E31" s="48">
        <f>'Kịch Bản'!F17</f>
        <v>6323.2000000000007</v>
      </c>
      <c r="F31" s="48">
        <f>'Kịch Bản'!F17</f>
        <v>6323.2000000000007</v>
      </c>
    </row>
    <row r="33" spans="1:6" ht="15" customHeight="1" x14ac:dyDescent="0.25">
      <c r="A33" s="14" t="s">
        <v>114</v>
      </c>
      <c r="B33" s="14"/>
      <c r="C33" s="14"/>
      <c r="D33" s="14"/>
      <c r="E33" s="14"/>
      <c r="F33" s="14"/>
    </row>
    <row r="34" spans="1:6" ht="15" customHeight="1" x14ac:dyDescent="0.25">
      <c r="A34" s="47" t="s">
        <v>115</v>
      </c>
      <c r="B34" s="48">
        <f>'Dự Báo 13 Tuần'!O7</f>
        <v>5057</v>
      </c>
      <c r="C34" s="48">
        <f>'Dự Báo 13 Tuần'!O7</f>
        <v>5057</v>
      </c>
      <c r="D34" s="48">
        <f>'Dự Báo 13 Tuần'!O7</f>
        <v>5057</v>
      </c>
      <c r="E34" s="48">
        <f>'Dự Báo 13 Tuần'!O7</f>
        <v>5057</v>
      </c>
      <c r="F34" s="48">
        <f>'Dự Báo 13 Tuần'!O7</f>
        <v>5057</v>
      </c>
    </row>
    <row r="35" spans="1:6" ht="15" customHeight="1" x14ac:dyDescent="0.25">
      <c r="A35" s="43" t="s">
        <v>116</v>
      </c>
      <c r="B35" s="44">
        <f>'Dự Báo 13 Tuần'!O12</f>
        <v>-3822</v>
      </c>
      <c r="C35" s="44">
        <f>'Dự Báo 13 Tuần'!O12</f>
        <v>-3822</v>
      </c>
      <c r="D35" s="44">
        <f>'Dự Báo 13 Tuần'!O12</f>
        <v>-3822</v>
      </c>
      <c r="E35" s="44">
        <f>'Dự Báo 13 Tuần'!O12</f>
        <v>-3822</v>
      </c>
      <c r="F35" s="44">
        <f>'Dự Báo 13 Tuần'!O12</f>
        <v>-3822</v>
      </c>
    </row>
    <row r="36" spans="1:6" ht="15" customHeight="1" x14ac:dyDescent="0.25">
      <c r="A36" s="45" t="s">
        <v>117</v>
      </c>
      <c r="B36" s="46">
        <f>'Dự Báo 13 Tuần'!O13</f>
        <v>1235</v>
      </c>
      <c r="C36" s="46">
        <f>'Dự Báo 13 Tuần'!O13</f>
        <v>1235</v>
      </c>
      <c r="D36" s="46">
        <f>'Dự Báo 13 Tuần'!O13</f>
        <v>1235</v>
      </c>
      <c r="E36" s="46">
        <f>'Dự Báo 13 Tuần'!O13</f>
        <v>1235</v>
      </c>
      <c r="F36" s="46">
        <f>'Dự Báo 13 Tuần'!O13</f>
        <v>1235</v>
      </c>
    </row>
    <row r="37" spans="1:6" ht="15" customHeight="1" x14ac:dyDescent="0.25">
      <c r="A37" s="47" t="s">
        <v>118</v>
      </c>
      <c r="B37" s="48">
        <f>'Dự Báo 13 Tuần'!N15</f>
        <v>3235</v>
      </c>
      <c r="C37" s="48">
        <f>'Dự Báo 13 Tuần'!N15</f>
        <v>3235</v>
      </c>
      <c r="D37" s="48">
        <f>'Dự Báo 13 Tuần'!N15</f>
        <v>3235</v>
      </c>
      <c r="E37" s="48">
        <f>'Dự Báo 13 Tuần'!N15</f>
        <v>3235</v>
      </c>
      <c r="F37" s="48">
        <f>'Dự Báo 13 Tuần'!N15</f>
        <v>3235</v>
      </c>
    </row>
    <row r="38" spans="1:6" ht="15" customHeight="1" x14ac:dyDescent="0.25">
      <c r="A38" s="43" t="s">
        <v>119</v>
      </c>
      <c r="B38" s="44">
        <f>MIN('Dự Báo 13 Tuần'!B13:N13)</f>
        <v>95</v>
      </c>
      <c r="C38" s="44">
        <f>MIN('Dự Báo 13 Tuần'!B13:N13)</f>
        <v>95</v>
      </c>
      <c r="D38" s="44">
        <f>MIN('Dự Báo 13 Tuần'!B13:N13)</f>
        <v>95</v>
      </c>
      <c r="E38" s="44">
        <f>MIN('Dự Báo 13 Tuần'!B13:N13)</f>
        <v>95</v>
      </c>
      <c r="F38" s="44">
        <f>MIN('Dự Báo 13 Tuần'!B13:N13)</f>
        <v>95</v>
      </c>
    </row>
    <row r="39" spans="1:6" ht="15" customHeight="1" x14ac:dyDescent="0.25">
      <c r="A39" s="47" t="s">
        <v>120</v>
      </c>
      <c r="B39" s="48">
        <f>MAX('Dự Báo 13 Tuần'!B13:N13)</f>
        <v>95</v>
      </c>
      <c r="C39" s="48">
        <f>MAX('Dự Báo 13 Tuần'!B13:N13)</f>
        <v>95</v>
      </c>
      <c r="D39" s="48">
        <f>MAX('Dự Báo 13 Tuần'!B13:N13)</f>
        <v>95</v>
      </c>
      <c r="E39" s="48">
        <f>MAX('Dự Báo 13 Tuần'!B13:N13)</f>
        <v>95</v>
      </c>
      <c r="F39" s="48">
        <f>MAX('Dự Báo 13 Tuần'!B13:N13)</f>
        <v>95</v>
      </c>
    </row>
    <row r="40" spans="1:6" ht="15" customHeight="1" x14ac:dyDescent="0.25">
      <c r="A40" t="s">
        <v>23</v>
      </c>
      <c r="B40" s="49">
        <f>'P&amp;L'!F4</f>
        <v>34980.124999999985</v>
      </c>
      <c r="C40" s="49">
        <f>'P&amp;L'!F17</f>
        <v>5516.5019999999986</v>
      </c>
      <c r="D40" s="50">
        <f>'P&amp;L'!F11</f>
        <v>0.22000000000000003</v>
      </c>
    </row>
    <row r="41" spans="1:6" ht="15" customHeight="1" x14ac:dyDescent="0.25">
      <c r="A41" t="s">
        <v>121</v>
      </c>
      <c r="B41" t="s">
        <v>122</v>
      </c>
      <c r="C41" t="s">
        <v>123</v>
      </c>
    </row>
    <row r="42" spans="1:6" ht="15" customHeight="1" x14ac:dyDescent="0.25">
      <c r="A42" t="s">
        <v>124</v>
      </c>
      <c r="B42" s="49">
        <f>'Dự Báo 13 Tuần'!B13</f>
        <v>95</v>
      </c>
      <c r="C42" s="49">
        <f>'Dự Báo 13 Tuần'!B15</f>
        <v>2095</v>
      </c>
    </row>
    <row r="43" spans="1:6" ht="15" customHeight="1" x14ac:dyDescent="0.25">
      <c r="A43" t="s">
        <v>125</v>
      </c>
      <c r="B43" s="49">
        <f>'Dự Báo 13 Tuần'!C13</f>
        <v>95</v>
      </c>
      <c r="C43" s="49">
        <f>'Dự Báo 13 Tuần'!C15</f>
        <v>2190</v>
      </c>
    </row>
    <row r="44" spans="1:6" ht="15" customHeight="1" x14ac:dyDescent="0.25">
      <c r="A44" t="s">
        <v>126</v>
      </c>
      <c r="B44" s="49">
        <f>'Dự Báo 13 Tuần'!D13</f>
        <v>95</v>
      </c>
      <c r="C44" s="49">
        <f>'Dự Báo 13 Tuần'!D15</f>
        <v>2285</v>
      </c>
    </row>
    <row r="45" spans="1:6" ht="15" customHeight="1" x14ac:dyDescent="0.25">
      <c r="A45" t="s">
        <v>127</v>
      </c>
      <c r="B45" s="49">
        <f>'Dự Báo 13 Tuần'!E13</f>
        <v>95</v>
      </c>
      <c r="C45" s="49">
        <f>'Dự Báo 13 Tuần'!E15</f>
        <v>2380</v>
      </c>
    </row>
    <row r="46" spans="1:6" ht="15" customHeight="1" x14ac:dyDescent="0.25">
      <c r="A46" t="s">
        <v>128</v>
      </c>
      <c r="B46" s="49">
        <f>'Dự Báo 13 Tuần'!F13</f>
        <v>95</v>
      </c>
      <c r="C46" s="49">
        <f>'Dự Báo 13 Tuần'!F15</f>
        <v>2475</v>
      </c>
    </row>
    <row r="47" spans="1:6" ht="15" customHeight="1" x14ac:dyDescent="0.25">
      <c r="A47" t="s">
        <v>129</v>
      </c>
      <c r="B47" s="49">
        <f>'Dự Báo 13 Tuần'!G13</f>
        <v>95</v>
      </c>
      <c r="C47" s="49">
        <f>'Dự Báo 13 Tuần'!G15</f>
        <v>2570</v>
      </c>
    </row>
    <row r="48" spans="1:6" ht="15" customHeight="1" x14ac:dyDescent="0.25">
      <c r="A48" t="s">
        <v>130</v>
      </c>
      <c r="B48" s="49">
        <f>'Dự Báo 13 Tuần'!H13</f>
        <v>95</v>
      </c>
      <c r="C48" s="49">
        <f>'Dự Báo 13 Tuần'!H15</f>
        <v>2665</v>
      </c>
    </row>
    <row r="49" spans="1:3" ht="15" customHeight="1" x14ac:dyDescent="0.25">
      <c r="A49" t="s">
        <v>131</v>
      </c>
      <c r="B49" s="49">
        <f>'Dự Báo 13 Tuần'!I13</f>
        <v>95</v>
      </c>
      <c r="C49" s="49">
        <f>'Dự Báo 13 Tuần'!I15</f>
        <v>2760</v>
      </c>
    </row>
    <row r="50" spans="1:3" ht="15" customHeight="1" x14ac:dyDescent="0.25">
      <c r="A50" t="s">
        <v>132</v>
      </c>
      <c r="B50" s="49">
        <f>'Dự Báo 13 Tuần'!J13</f>
        <v>95</v>
      </c>
      <c r="C50" s="49">
        <f>'Dự Báo 13 Tuần'!J15</f>
        <v>2855</v>
      </c>
    </row>
    <row r="51" spans="1:3" ht="15" customHeight="1" x14ac:dyDescent="0.25">
      <c r="A51" t="s">
        <v>133</v>
      </c>
      <c r="B51" s="49">
        <f>'Dự Báo 13 Tuần'!K13</f>
        <v>95</v>
      </c>
      <c r="C51" s="49">
        <f>'Dự Báo 13 Tuần'!K15</f>
        <v>2950</v>
      </c>
    </row>
    <row r="52" spans="1:3" ht="15" customHeight="1" x14ac:dyDescent="0.25">
      <c r="A52" t="s">
        <v>134</v>
      </c>
      <c r="B52" s="49">
        <f>'Dự Báo 13 Tuần'!L13</f>
        <v>95</v>
      </c>
      <c r="C52" s="49">
        <f>'Dự Báo 13 Tuần'!L15</f>
        <v>3045</v>
      </c>
    </row>
    <row r="53" spans="1:3" ht="15" customHeight="1" x14ac:dyDescent="0.25">
      <c r="A53" t="s">
        <v>135</v>
      </c>
      <c r="B53" s="49">
        <f>'Dự Báo 13 Tuần'!M13</f>
        <v>95</v>
      </c>
      <c r="C53" s="49">
        <f>'Dự Báo 13 Tuần'!M15</f>
        <v>3140</v>
      </c>
    </row>
    <row r="54" spans="1:3" ht="15" customHeight="1" x14ac:dyDescent="0.25">
      <c r="A54" t="s">
        <v>136</v>
      </c>
      <c r="B54" s="49">
        <f>'Dự Báo 13 Tuần'!N13</f>
        <v>95</v>
      </c>
      <c r="C54" s="49">
        <f>'Dự Báo 13 Tuần'!N15</f>
        <v>3235</v>
      </c>
    </row>
    <row r="58" spans="1:3" ht="15" customHeight="1" x14ac:dyDescent="0.25">
      <c r="A58" t="s">
        <v>137</v>
      </c>
      <c r="B58" t="s">
        <v>138</v>
      </c>
      <c r="C58" t="s">
        <v>139</v>
      </c>
    </row>
    <row r="59" spans="1:3" ht="15" customHeight="1" x14ac:dyDescent="0.25">
      <c r="A59" t="s">
        <v>140</v>
      </c>
      <c r="B59" s="49">
        <f>'Kịch Bản'!B13</f>
        <v>21000</v>
      </c>
      <c r="C59" s="49">
        <f>'Kịch Bản'!B17</f>
        <v>1040</v>
      </c>
    </row>
    <row r="60" spans="1:3" ht="15" customHeight="1" x14ac:dyDescent="0.25">
      <c r="A60" t="s">
        <v>141</v>
      </c>
      <c r="B60" s="49">
        <f>'Kịch Bản'!D13</f>
        <v>23000</v>
      </c>
      <c r="C60" s="49">
        <f>'Kịch Bản'!D17</f>
        <v>3408</v>
      </c>
    </row>
    <row r="61" spans="1:3" ht="15" customHeight="1" x14ac:dyDescent="0.25">
      <c r="A61" t="s">
        <v>142</v>
      </c>
      <c r="B61" s="49">
        <f>'Kịch Bản'!F13</f>
        <v>25600</v>
      </c>
      <c r="C61" s="49">
        <f>'Kịch Bản'!F17</f>
        <v>6323.2000000000007</v>
      </c>
    </row>
    <row r="78" spans="1:4" ht="15" customHeight="1" x14ac:dyDescent="0.25">
      <c r="A78" t="s">
        <v>143</v>
      </c>
      <c r="B78" t="s">
        <v>144</v>
      </c>
      <c r="C78" t="s">
        <v>145</v>
      </c>
      <c r="D78" t="s">
        <v>146</v>
      </c>
    </row>
    <row r="79" spans="1:4" ht="15" customHeight="1" x14ac:dyDescent="0.25">
      <c r="A79" t="s">
        <v>138</v>
      </c>
      <c r="B79" s="49">
        <f>'Kịch Bản'!B13</f>
        <v>21000</v>
      </c>
      <c r="C79" s="49">
        <f>'Kịch Bản'!D13</f>
        <v>23000</v>
      </c>
      <c r="D79" s="49">
        <f>'Kịch Bản'!F13</f>
        <v>25600</v>
      </c>
    </row>
    <row r="80" spans="1:4" ht="15" customHeight="1" x14ac:dyDescent="0.25">
      <c r="A80" t="s">
        <v>147</v>
      </c>
      <c r="B80" s="49">
        <f>'Kịch Bản'!B14</f>
        <v>6930</v>
      </c>
      <c r="C80" s="49">
        <f>'Kịch Bản'!D14</f>
        <v>9200</v>
      </c>
      <c r="D80" s="49">
        <f>'Kịch Bản'!F14</f>
        <v>12032</v>
      </c>
    </row>
    <row r="81" spans="1:6" ht="15" customHeight="1" x14ac:dyDescent="0.25">
      <c r="A81" t="s">
        <v>148</v>
      </c>
      <c r="B81" s="49">
        <f>'Kịch Bản'!B15</f>
        <v>2100</v>
      </c>
      <c r="C81" s="49">
        <f>'Kịch Bản'!D15</f>
        <v>5060</v>
      </c>
      <c r="D81" s="49">
        <f>'Kịch Bản'!F15</f>
        <v>8704</v>
      </c>
    </row>
    <row r="82" spans="1:6" ht="15" customHeight="1" x14ac:dyDescent="0.25">
      <c r="A82" t="s">
        <v>139</v>
      </c>
      <c r="B82" s="49">
        <f>'Kịch Bản'!B17</f>
        <v>1040</v>
      </c>
      <c r="C82" s="49">
        <f>'Kịch Bản'!D17</f>
        <v>3408</v>
      </c>
      <c r="D82" s="49">
        <f>'Kịch Bản'!F17</f>
        <v>6323.2000000000007</v>
      </c>
    </row>
    <row r="90" spans="1:6" ht="21.75" customHeight="1" x14ac:dyDescent="0.25">
      <c r="A90" s="13" t="s">
        <v>149</v>
      </c>
      <c r="B90" s="13"/>
      <c r="C90" s="13"/>
      <c r="D90" s="13"/>
      <c r="E90" s="13"/>
      <c r="F90" s="13"/>
    </row>
    <row r="91" spans="1:6" ht="21.75" customHeight="1" x14ac:dyDescent="0.25">
      <c r="A91" s="24" t="s">
        <v>87</v>
      </c>
      <c r="B91" s="24" t="s">
        <v>150</v>
      </c>
      <c r="C91" s="24" t="s">
        <v>151</v>
      </c>
      <c r="D91" s="24" t="s">
        <v>152</v>
      </c>
      <c r="E91" s="24" t="s">
        <v>153</v>
      </c>
      <c r="F91" s="24" t="s">
        <v>154</v>
      </c>
    </row>
    <row r="92" spans="1:6" ht="21.75" customHeight="1" x14ac:dyDescent="0.25">
      <c r="A92" s="51" t="s">
        <v>93</v>
      </c>
      <c r="B92" s="52" t="s">
        <v>155</v>
      </c>
      <c r="C92" s="52" t="s">
        <v>156</v>
      </c>
      <c r="D92" s="53">
        <f>'P&amp;L'!B11</f>
        <v>0.22</v>
      </c>
      <c r="E92" s="52" t="str">
        <f>IF('P&amp;L'!B11&lt;0.1,"🔴 NGUY HIỂM",IF('P&amp;L'!B11&lt;0.15,"🟡 CẢNH BÁO","🟢 AN TOÀN"))</f>
        <v>🟢 AN TOÀN</v>
      </c>
      <c r="F92" s="52" t="s">
        <v>157</v>
      </c>
    </row>
    <row r="93" spans="1:6" ht="21.75" customHeight="1" x14ac:dyDescent="0.25">
      <c r="A93" s="54" t="s">
        <v>158</v>
      </c>
      <c r="B93" s="28" t="s">
        <v>159</v>
      </c>
      <c r="C93" s="28" t="s">
        <v>160</v>
      </c>
      <c r="D93" s="55">
        <f>'P&amp;L'!C4/'P&amp;L'!B4-1</f>
        <v>0.14999999999999991</v>
      </c>
      <c r="E93" s="28" t="str">
        <f>IF('P&amp;L'!C4/'P&amp;L'!B4-1&lt;0,"🔴 NGUY HIỂM",IF('P&amp;L'!C4/'P&amp;L'!B4-1&lt;0.05,"🟡 CẢNH BÁO","🟢 AN TOÀN"))</f>
        <v>🟢 AN TOÀN</v>
      </c>
      <c r="F93" s="28" t="s">
        <v>161</v>
      </c>
    </row>
    <row r="94" spans="1:6" ht="21.75" customHeight="1" x14ac:dyDescent="0.25">
      <c r="A94" s="51" t="s">
        <v>162</v>
      </c>
      <c r="B94" s="52" t="s">
        <v>163</v>
      </c>
      <c r="C94" s="52" t="s">
        <v>164</v>
      </c>
      <c r="D94" s="56">
        <f>'Cash Flow'!B17</f>
        <v>3080</v>
      </c>
      <c r="E94" s="52" t="str">
        <f>IF('Cash Flow'!B17&lt;500,"🔴 NGUY HIỂM",IF('Cash Flow'!B17&lt;1000,"🟡 CẢNH BÁO","🟢 AN TOÀN"))</f>
        <v>🟢 AN TOÀN</v>
      </c>
      <c r="F94" s="52" t="s">
        <v>165</v>
      </c>
    </row>
    <row r="95" spans="1:6" ht="21.75" customHeight="1" x14ac:dyDescent="0.25">
      <c r="A95" s="54" t="s">
        <v>166</v>
      </c>
      <c r="B95" s="28" t="s">
        <v>167</v>
      </c>
      <c r="C95" s="28" t="s">
        <v>168</v>
      </c>
      <c r="D95" s="57">
        <f>'Balance Sheet'!B24/'Balance Sheet'!B28</f>
        <v>0</v>
      </c>
      <c r="E95" s="28" t="str">
        <f>IF('Balance Sheet'!B24/'Balance Sheet'!B28&gt;2,"🔴 NGUY HIỂM",IF('Balance Sheet'!B24/'Balance Sheet'!B28&gt;1.5,"🟡 CẢNH BÁO","🟢 AN TOÀN"))</f>
        <v>🟢 AN TOÀN</v>
      </c>
      <c r="F95" s="28" t="s">
        <v>169</v>
      </c>
    </row>
    <row r="96" spans="1:6" ht="21.75" customHeight="1" x14ac:dyDescent="0.25">
      <c r="A96" s="51" t="s">
        <v>170</v>
      </c>
      <c r="B96" s="52" t="s">
        <v>171</v>
      </c>
      <c r="C96" s="52" t="s">
        <v>172</v>
      </c>
      <c r="D96" s="52">
        <f>'P&amp;L'!B17/'Balance Sheet'!B28</f>
        <v>0.18274111675126903</v>
      </c>
      <c r="E96" s="52" t="str">
        <f>IF('P&amp;L'!B17/'Balance Sheet'!B28&lt;0,"🔴 NGUY HIỂM",IF('P&amp;L'!B17/'Balance Sheet'!B28&lt;0.0966,"🟡 CẢNH BÁO","🟢 AN TOÀN"))</f>
        <v>🟢 AN TOÀN</v>
      </c>
      <c r="F96" s="52" t="s">
        <v>173</v>
      </c>
    </row>
    <row r="97" spans="1:6" ht="21.75" customHeight="1" x14ac:dyDescent="0.25">
      <c r="A97" s="54" t="s">
        <v>94</v>
      </c>
      <c r="B97" s="28" t="s">
        <v>174</v>
      </c>
      <c r="C97" s="28" t="s">
        <v>159</v>
      </c>
      <c r="D97" s="55">
        <f>'P&amp;L'!B18</f>
        <v>0.14399999999999999</v>
      </c>
      <c r="E97" s="28" t="str">
        <f>IF('P&amp;L'!B18&lt;0.05,"🔴 NGUY HIỂM",IF('P&amp;L'!B18&lt;0.08,"🟡 CẢNH BÁO","🟢 AN TOÀN"))</f>
        <v>🟢 AN TOÀN</v>
      </c>
      <c r="F97" s="28" t="s">
        <v>175</v>
      </c>
    </row>
    <row r="98" spans="1:6" ht="21.75" customHeight="1" x14ac:dyDescent="0.25"/>
    <row r="99" spans="1:6" ht="21.75" customHeight="1" x14ac:dyDescent="0.25"/>
    <row r="100" spans="1:6" ht="21.75" customHeight="1" x14ac:dyDescent="0.25">
      <c r="A100" s="12" t="s">
        <v>176</v>
      </c>
      <c r="B100" s="12"/>
      <c r="C100" s="12"/>
      <c r="D100" s="12"/>
      <c r="E100" s="12"/>
      <c r="F100" s="12"/>
    </row>
    <row r="101" spans="1:6" ht="21.75" customHeight="1" x14ac:dyDescent="0.25">
      <c r="A101" s="24" t="s">
        <v>1</v>
      </c>
      <c r="B101" s="24" t="s">
        <v>19</v>
      </c>
      <c r="C101" s="24" t="s">
        <v>20</v>
      </c>
      <c r="D101" s="24" t="s">
        <v>21</v>
      </c>
      <c r="E101" s="24" t="s">
        <v>22</v>
      </c>
      <c r="F101" s="24" t="s">
        <v>23</v>
      </c>
    </row>
    <row r="102" spans="1:6" ht="21.75" customHeight="1" x14ac:dyDescent="0.25">
      <c r="A102" s="51" t="s">
        <v>177</v>
      </c>
      <c r="B102" s="56">
        <v>3472</v>
      </c>
      <c r="C102" s="56">
        <v>3990</v>
      </c>
      <c r="D102" s="56">
        <v>4714</v>
      </c>
      <c r="E102" s="56">
        <v>5451</v>
      </c>
      <c r="F102" s="56">
        <v>6472</v>
      </c>
    </row>
    <row r="103" spans="1:6" ht="21.75" customHeight="1" x14ac:dyDescent="0.25">
      <c r="A103" s="58" t="s">
        <v>178</v>
      </c>
      <c r="B103" s="59">
        <v>1659</v>
      </c>
      <c r="C103" s="59">
        <v>1788</v>
      </c>
      <c r="D103" s="59">
        <v>2111</v>
      </c>
      <c r="E103" s="59">
        <v>2499</v>
      </c>
      <c r="F103" s="59">
        <v>2950</v>
      </c>
    </row>
    <row r="104" spans="1:6" ht="21.75" customHeight="1" x14ac:dyDescent="0.25">
      <c r="A104" s="60" t="s">
        <v>179</v>
      </c>
      <c r="B104" s="61">
        <v>5284</v>
      </c>
      <c r="C104" s="61">
        <v>6141</v>
      </c>
      <c r="D104" s="61">
        <v>7684</v>
      </c>
      <c r="E104" s="61">
        <v>8707</v>
      </c>
      <c r="F104" s="61">
        <v>10403</v>
      </c>
    </row>
    <row r="105" spans="1:6" ht="21.75" customHeight="1" x14ac:dyDescent="0.25">
      <c r="A105" s="54" t="s">
        <v>180</v>
      </c>
      <c r="B105" s="55">
        <v>0.26960000000000001</v>
      </c>
      <c r="C105" s="55">
        <v>0.30969999999999998</v>
      </c>
      <c r="D105" s="55">
        <v>0.36599999999999999</v>
      </c>
      <c r="E105" s="55">
        <v>0.42320000000000002</v>
      </c>
      <c r="F105" s="55">
        <v>0.50249999999999995</v>
      </c>
    </row>
    <row r="106" spans="1:6" ht="21.75" customHeight="1" x14ac:dyDescent="0.25">
      <c r="A106" s="51" t="s">
        <v>181</v>
      </c>
      <c r="B106" s="62">
        <v>0.17299999999999999</v>
      </c>
      <c r="C106" s="62">
        <v>0.21310000000000001</v>
      </c>
      <c r="D106" s="62">
        <v>0.26939999999999997</v>
      </c>
      <c r="E106" s="62">
        <v>0.3266</v>
      </c>
      <c r="F106" s="62">
        <v>0.40589999999999998</v>
      </c>
    </row>
    <row r="107" spans="1:6" ht="21.75" customHeight="1" x14ac:dyDescent="0.25">
      <c r="A107" s="54" t="s">
        <v>182</v>
      </c>
      <c r="B107" s="55">
        <v>0.82099999999999995</v>
      </c>
      <c r="C107" s="55">
        <v>0.78900000000000003</v>
      </c>
      <c r="D107" s="55">
        <v>0.77300000000000002</v>
      </c>
      <c r="E107" s="55">
        <v>0.78600000000000003</v>
      </c>
      <c r="F107" s="55">
        <v>0.8</v>
      </c>
    </row>
    <row r="108" spans="1:6" ht="21.75" customHeight="1" x14ac:dyDescent="0.25"/>
    <row r="109" spans="1:6" ht="21.75" customHeight="1" x14ac:dyDescent="0.25">
      <c r="A109" s="11" t="s">
        <v>183</v>
      </c>
      <c r="B109" s="11"/>
      <c r="C109" s="11"/>
      <c r="D109" s="11"/>
      <c r="E109" s="11"/>
      <c r="F109" s="11"/>
    </row>
    <row r="110" spans="1:6" ht="21.75" customHeight="1" x14ac:dyDescent="0.25">
      <c r="A110" s="13" t="s">
        <v>184</v>
      </c>
      <c r="B110" s="13"/>
      <c r="C110" s="13"/>
      <c r="D110" s="13"/>
      <c r="E110" s="13"/>
      <c r="F110" s="13"/>
    </row>
    <row r="111" spans="1:6" ht="21.75" customHeight="1" x14ac:dyDescent="0.25">
      <c r="A111" s="11" t="s">
        <v>185</v>
      </c>
      <c r="B111" s="11"/>
      <c r="C111" s="11"/>
      <c r="D111" s="11"/>
      <c r="E111" s="11"/>
      <c r="F111" s="11"/>
    </row>
    <row r="112" spans="1:6" ht="21.75" customHeight="1" x14ac:dyDescent="0.25">
      <c r="A112" s="24" t="s">
        <v>87</v>
      </c>
      <c r="B112" s="24" t="s">
        <v>186</v>
      </c>
      <c r="C112" s="24" t="s">
        <v>187</v>
      </c>
      <c r="D112" s="24" t="s">
        <v>188</v>
      </c>
      <c r="E112" s="24" t="s">
        <v>189</v>
      </c>
    </row>
    <row r="113" spans="1:6" ht="21.75" customHeight="1" x14ac:dyDescent="0.25">
      <c r="A113" s="51" t="s">
        <v>190</v>
      </c>
      <c r="B113" s="63">
        <v>0.2</v>
      </c>
      <c r="C113" s="63">
        <v>0.15</v>
      </c>
      <c r="D113" s="63">
        <v>0.1</v>
      </c>
      <c r="E113" s="52" t="s">
        <v>191</v>
      </c>
    </row>
    <row r="114" spans="1:6" ht="21.75" customHeight="1" x14ac:dyDescent="0.25">
      <c r="A114" s="54" t="s">
        <v>192</v>
      </c>
      <c r="B114" s="63">
        <v>0.12</v>
      </c>
      <c r="C114" s="63">
        <v>0.08</v>
      </c>
      <c r="D114" s="63">
        <v>0.05</v>
      </c>
      <c r="E114" s="28" t="s">
        <v>191</v>
      </c>
    </row>
    <row r="115" spans="1:6" ht="21.75" customHeight="1" x14ac:dyDescent="0.25">
      <c r="A115" s="51" t="s">
        <v>193</v>
      </c>
      <c r="B115" s="63">
        <v>0.1</v>
      </c>
      <c r="C115" s="63">
        <v>0.05</v>
      </c>
      <c r="D115" s="63">
        <v>0</v>
      </c>
      <c r="E115" s="52" t="s">
        <v>191</v>
      </c>
    </row>
    <row r="116" spans="1:6" ht="21.75" customHeight="1" x14ac:dyDescent="0.25">
      <c r="A116" s="54" t="s">
        <v>194</v>
      </c>
      <c r="B116" s="64">
        <v>2000</v>
      </c>
      <c r="C116" s="64">
        <v>1000</v>
      </c>
      <c r="D116" s="64">
        <v>500</v>
      </c>
      <c r="E116" s="28" t="s">
        <v>195</v>
      </c>
    </row>
    <row r="117" spans="1:6" ht="21.75" customHeight="1" x14ac:dyDescent="0.25">
      <c r="A117" s="51" t="s">
        <v>196</v>
      </c>
      <c r="B117" s="65">
        <v>1</v>
      </c>
      <c r="C117" s="65">
        <v>1.5</v>
      </c>
      <c r="D117" s="65">
        <v>2</v>
      </c>
      <c r="E117" s="52" t="s">
        <v>197</v>
      </c>
    </row>
    <row r="118" spans="1:6" ht="21.75" customHeight="1" x14ac:dyDescent="0.25">
      <c r="A118" s="54" t="s">
        <v>198</v>
      </c>
      <c r="B118" s="63">
        <v>0.2</v>
      </c>
      <c r="C118" s="63">
        <v>9.6603773584905697E-2</v>
      </c>
      <c r="D118" s="63">
        <v>0</v>
      </c>
      <c r="E118" s="28" t="s">
        <v>191</v>
      </c>
    </row>
    <row r="119" spans="1:6" ht="21.75" customHeight="1" x14ac:dyDescent="0.25">
      <c r="A119" s="51" t="s">
        <v>199</v>
      </c>
      <c r="B119" s="65">
        <v>2</v>
      </c>
      <c r="C119" s="65">
        <v>1.5</v>
      </c>
      <c r="D119" s="65">
        <v>1</v>
      </c>
      <c r="E119" s="52" t="s">
        <v>197</v>
      </c>
    </row>
    <row r="120" spans="1:6" ht="21.75" customHeight="1" x14ac:dyDescent="0.25"/>
    <row r="121" spans="1:6" ht="21.75" customHeight="1" x14ac:dyDescent="0.25"/>
    <row r="122" spans="1:6" ht="21.75" customHeight="1" x14ac:dyDescent="0.25">
      <c r="A122" s="14" t="s">
        <v>200</v>
      </c>
      <c r="B122" s="14"/>
      <c r="C122" s="14"/>
      <c r="D122" s="14"/>
      <c r="E122" s="14"/>
      <c r="F122" s="14"/>
    </row>
    <row r="123" spans="1:6" ht="21.75" customHeight="1" x14ac:dyDescent="0.25">
      <c r="A123" s="24" t="s">
        <v>87</v>
      </c>
      <c r="B123" s="24" t="s">
        <v>152</v>
      </c>
      <c r="C123" s="24" t="s">
        <v>201</v>
      </c>
      <c r="D123" s="24" t="s">
        <v>202</v>
      </c>
      <c r="E123" s="24" t="s">
        <v>203</v>
      </c>
      <c r="F123" s="24" t="s">
        <v>204</v>
      </c>
    </row>
    <row r="124" spans="1:6" ht="21.75" customHeight="1" x14ac:dyDescent="0.25">
      <c r="A124" s="51" t="s">
        <v>190</v>
      </c>
      <c r="B124" s="66">
        <f>'P&amp;L'!B11</f>
        <v>0.22</v>
      </c>
      <c r="C124" s="67">
        <f t="shared" ref="C124:C130" si="0">B113</f>
        <v>0.2</v>
      </c>
      <c r="D124" s="68">
        <f t="shared" ref="D124:D130" si="1">D113</f>
        <v>0.1</v>
      </c>
      <c r="E124" s="69" t="str">
        <f>IF(B124&lt;D113,"🔴 NGUY HIỂM",IF(B124&lt;C113,"🟡 CẢNH BÁO","🟢 AN TOÀN"))</f>
        <v>🟢 AN TOÀN</v>
      </c>
      <c r="F124" s="70" t="s">
        <v>205</v>
      </c>
    </row>
    <row r="125" spans="1:6" ht="21.75" customHeight="1" x14ac:dyDescent="0.25">
      <c r="A125" s="54" t="s">
        <v>192</v>
      </c>
      <c r="B125" s="71">
        <f>'P&amp;L'!B18</f>
        <v>0.14399999999999999</v>
      </c>
      <c r="C125" s="67">
        <f t="shared" si="0"/>
        <v>0.12</v>
      </c>
      <c r="D125" s="68">
        <f t="shared" si="1"/>
        <v>0.05</v>
      </c>
      <c r="E125" s="27" t="str">
        <f>IF(B125&lt;D114,"🔴 NGUY HIỂM",IF(B125&lt;C114,"🟡 CẢNH BÁO","🟢 AN TOÀN"))</f>
        <v>🟢 AN TOÀN</v>
      </c>
      <c r="F125" s="29" t="s">
        <v>206</v>
      </c>
    </row>
    <row r="126" spans="1:6" ht="21.75" customHeight="1" x14ac:dyDescent="0.25">
      <c r="A126" s="51" t="s">
        <v>193</v>
      </c>
      <c r="B126" s="66">
        <f>IFERROR('P&amp;L'!C4/'P&amp;L'!B4-1,0)</f>
        <v>0.14999999999999991</v>
      </c>
      <c r="C126" s="67">
        <f t="shared" si="0"/>
        <v>0.1</v>
      </c>
      <c r="D126" s="68">
        <f t="shared" si="1"/>
        <v>0</v>
      </c>
      <c r="E126" s="69" t="str">
        <f>IF(B126&lt;D115,"🔴 NGUY HIỂM",IF(B126&lt;C115,"🟡 CẢNH BÁO","🟢 AN TOÀN"))</f>
        <v>🟢 AN TOÀN</v>
      </c>
      <c r="F126" s="70" t="s">
        <v>161</v>
      </c>
    </row>
    <row r="127" spans="1:6" ht="21.75" customHeight="1" x14ac:dyDescent="0.25">
      <c r="A127" s="54" t="s">
        <v>194</v>
      </c>
      <c r="B127" s="72">
        <f>'Cash Flow'!B17</f>
        <v>3080</v>
      </c>
      <c r="C127" s="73">
        <f t="shared" si="0"/>
        <v>2000</v>
      </c>
      <c r="D127" s="74">
        <f t="shared" si="1"/>
        <v>500</v>
      </c>
      <c r="E127" s="27" t="str">
        <f>IF(B127&lt;D116,"🔴 NGUY HIỂM",IF(B127&lt;C116,"🟡 CẢNH BÁO","🟢 AN TOÀN"))</f>
        <v>🟢 AN TOÀN</v>
      </c>
      <c r="F127" s="29" t="s">
        <v>165</v>
      </c>
    </row>
    <row r="128" spans="1:6" ht="21.75" customHeight="1" x14ac:dyDescent="0.25">
      <c r="A128" s="51" t="s">
        <v>196</v>
      </c>
      <c r="B128" s="75">
        <f>IFERROR('Balance Sheet'!B24/'Balance Sheet'!B28,0)</f>
        <v>0</v>
      </c>
      <c r="C128" s="76">
        <f t="shared" si="0"/>
        <v>1</v>
      </c>
      <c r="D128" s="77">
        <f t="shared" si="1"/>
        <v>2</v>
      </c>
      <c r="E128" s="69" t="str">
        <f>IF(B128&gt;D117,"🔴 NGUY HIỂM",IF(B128&gt;C117,"🟡 CẢNH BÁO","🟢 AN TOÀN"))</f>
        <v>🟢 AN TOÀN</v>
      </c>
      <c r="F128" s="70" t="s">
        <v>169</v>
      </c>
    </row>
    <row r="129" spans="1:6" ht="21.75" customHeight="1" x14ac:dyDescent="0.25">
      <c r="A129" s="54" t="s">
        <v>198</v>
      </c>
      <c r="B129" s="71">
        <f>IFERROR('P&amp;L'!B17/'Balance Sheet'!B28,0)</f>
        <v>0.18274111675126903</v>
      </c>
      <c r="C129" s="67">
        <f t="shared" si="0"/>
        <v>0.2</v>
      </c>
      <c r="D129" s="68">
        <f t="shared" si="1"/>
        <v>0</v>
      </c>
      <c r="E129" s="27" t="str">
        <f>IF(B129&lt;D118,"🔴 NGUY HIỂM",IF(B129&lt;C118,"🟡 CẢNH BÁO","🟢 AN TOÀN"))</f>
        <v>🟢 AN TOÀN</v>
      </c>
      <c r="F129" s="29" t="s">
        <v>207</v>
      </c>
    </row>
    <row r="130" spans="1:6" ht="21.75" customHeight="1" x14ac:dyDescent="0.25">
      <c r="A130" s="51" t="s">
        <v>199</v>
      </c>
      <c r="B130" s="75">
        <f>IFERROR('Balance Sheet'!B10/'Balance Sheet'!B24,0)</f>
        <v>0</v>
      </c>
      <c r="C130" s="76">
        <f t="shared" si="0"/>
        <v>2</v>
      </c>
      <c r="D130" s="77">
        <f t="shared" si="1"/>
        <v>1</v>
      </c>
      <c r="E130" s="69" t="str">
        <f>IF(B130&lt;D119,"🔴 NGUY HIỂM",IF(B130&lt;C119,"🟡 CẢNH BÁO","🟢 AN TOÀN"))</f>
        <v>🔴 NGUY HIỂM</v>
      </c>
      <c r="F130" s="70" t="s">
        <v>208</v>
      </c>
    </row>
    <row r="131" spans="1:6" ht="21.75" customHeight="1" x14ac:dyDescent="0.25"/>
    <row r="132" spans="1:6" ht="21.75" customHeight="1" x14ac:dyDescent="0.25">
      <c r="A132" s="42" t="s">
        <v>209</v>
      </c>
      <c r="B132" s="78">
        <f>COUNTIF(E124:E130,"*AN TOÀN*")</f>
        <v>6</v>
      </c>
      <c r="C132" s="79">
        <f>COUNTIF(E124:E130,"*CẢNH BÁO*")</f>
        <v>0</v>
      </c>
      <c r="D132" s="80">
        <f>COUNTIF(E124:E130,"*NGUY HIỂM*")</f>
        <v>1</v>
      </c>
      <c r="E132" s="27" t="str">
        <f>IF(D132&gt;0,"🔴 CẦN HÀNH ĐỘNG NGAY",IF(C132&gt;0,"🟡 THEO DÕI SÁT","🟢 HOẠT ĐỘNG TỐT"))</f>
        <v>🔴 CẦN HÀNH ĐỘNG NGAY</v>
      </c>
    </row>
    <row r="133" spans="1:6" ht="21.75" customHeight="1" x14ac:dyDescent="0.25"/>
    <row r="135" spans="1:6" ht="21.75" customHeight="1" x14ac:dyDescent="0.25">
      <c r="A135" s="10" t="s">
        <v>210</v>
      </c>
      <c r="B135" s="10"/>
      <c r="C135" s="10"/>
      <c r="D135" s="10"/>
      <c r="E135" s="10"/>
      <c r="F135" s="10"/>
    </row>
    <row r="136" spans="1:6" ht="21.75" customHeight="1" x14ac:dyDescent="0.25">
      <c r="A136" s="24" t="s">
        <v>211</v>
      </c>
      <c r="B136" s="24" t="s">
        <v>212</v>
      </c>
      <c r="C136" s="24" t="s">
        <v>213</v>
      </c>
      <c r="D136" s="24" t="s">
        <v>214</v>
      </c>
      <c r="E136" s="24" t="s">
        <v>215</v>
      </c>
      <c r="F136" s="24" t="s">
        <v>216</v>
      </c>
    </row>
    <row r="137" spans="1:6" ht="21.75" customHeight="1" x14ac:dyDescent="0.25">
      <c r="A137" s="52">
        <v>2024</v>
      </c>
      <c r="B137" s="56">
        <v>2500</v>
      </c>
      <c r="C137" s="82">
        <v>8.6999999999999994E-2</v>
      </c>
      <c r="D137" s="83">
        <v>0.77200000000000002</v>
      </c>
      <c r="E137" s="84">
        <v>0.999</v>
      </c>
      <c r="F137" s="85" t="s">
        <v>217</v>
      </c>
    </row>
    <row r="138" spans="1:6" ht="21.75" customHeight="1" x14ac:dyDescent="0.25">
      <c r="A138" s="28">
        <v>2025</v>
      </c>
      <c r="B138" s="86">
        <v>3000</v>
      </c>
      <c r="C138" s="82">
        <v>5.0999999999999997E-2</v>
      </c>
      <c r="D138" s="83">
        <v>0.74099999999999999</v>
      </c>
      <c r="E138" s="84">
        <v>1</v>
      </c>
      <c r="F138" s="87" t="s">
        <v>218</v>
      </c>
    </row>
    <row r="139" spans="1:6" ht="21.75" customHeight="1" x14ac:dyDescent="0.25">
      <c r="A139" s="52">
        <v>2026</v>
      </c>
      <c r="B139" s="56">
        <v>3500</v>
      </c>
      <c r="C139" s="82">
        <v>3.6999999999999998E-2</v>
      </c>
      <c r="D139" s="83">
        <v>0.75</v>
      </c>
      <c r="E139" s="84">
        <v>1</v>
      </c>
      <c r="F139" s="85" t="s">
        <v>217</v>
      </c>
    </row>
    <row r="140" spans="1:6" ht="21.75" customHeight="1" x14ac:dyDescent="0.25">
      <c r="A140" s="13" t="s">
        <v>219</v>
      </c>
      <c r="B140" s="13"/>
      <c r="C140" s="13"/>
      <c r="D140" s="13"/>
      <c r="E140" s="13"/>
      <c r="F140" s="13"/>
    </row>
    <row r="141" spans="1:6" ht="21.75" customHeight="1" x14ac:dyDescent="0.25">
      <c r="A141" s="24" t="s">
        <v>211</v>
      </c>
      <c r="B141" s="88" t="s">
        <v>220</v>
      </c>
      <c r="C141" s="89" t="s">
        <v>221</v>
      </c>
      <c r="D141" s="89" t="s">
        <v>222</v>
      </c>
      <c r="E141" s="89" t="s">
        <v>223</v>
      </c>
      <c r="F141" s="24" t="s">
        <v>224</v>
      </c>
    </row>
    <row r="142" spans="1:6" ht="21.75" customHeight="1" x14ac:dyDescent="0.25">
      <c r="A142" s="51">
        <v>2024</v>
      </c>
      <c r="B142" s="56">
        <v>2500</v>
      </c>
      <c r="C142" s="84">
        <v>-0.1061</v>
      </c>
      <c r="D142" s="53">
        <v>0.15</v>
      </c>
      <c r="E142" s="90">
        <v>0.25609999999999999</v>
      </c>
      <c r="F142" s="91" t="s">
        <v>225</v>
      </c>
    </row>
    <row r="143" spans="1:6" ht="21.75" customHeight="1" x14ac:dyDescent="0.25">
      <c r="A143" s="54">
        <v>2025</v>
      </c>
      <c r="B143" s="86">
        <v>3000</v>
      </c>
      <c r="C143" s="84">
        <v>3.85E-2</v>
      </c>
      <c r="D143" s="55">
        <v>0.15</v>
      </c>
      <c r="E143" s="90">
        <v>0.1115</v>
      </c>
      <c r="F143" s="91" t="s">
        <v>225</v>
      </c>
    </row>
    <row r="144" spans="1:6" ht="21.75" customHeight="1" x14ac:dyDescent="0.25">
      <c r="A144" s="51">
        <v>2026</v>
      </c>
      <c r="B144" s="56">
        <v>3500</v>
      </c>
      <c r="C144" s="82">
        <v>0.17860000000000001</v>
      </c>
      <c r="D144" s="53">
        <v>0.15</v>
      </c>
      <c r="E144" s="92">
        <v>-2.86E-2</v>
      </c>
      <c r="F144" s="93" t="s">
        <v>226</v>
      </c>
    </row>
    <row r="145" spans="1:6" ht="21.75" customHeight="1" x14ac:dyDescent="0.25">
      <c r="A145" s="54">
        <v>2027</v>
      </c>
      <c r="B145" s="86">
        <v>4000</v>
      </c>
      <c r="C145" s="82">
        <v>0.3175</v>
      </c>
      <c r="D145" s="55">
        <v>0.15</v>
      </c>
      <c r="E145" s="92">
        <v>-0.16750000000000001</v>
      </c>
      <c r="F145" s="93" t="s">
        <v>226</v>
      </c>
    </row>
    <row r="146" spans="1:6" ht="21.75" customHeight="1" x14ac:dyDescent="0.25">
      <c r="A146" s="51">
        <v>2028</v>
      </c>
      <c r="B146" s="56">
        <v>4500</v>
      </c>
      <c r="C146" s="82">
        <v>0.45529999999999998</v>
      </c>
      <c r="D146" s="53">
        <v>0.15</v>
      </c>
      <c r="E146" s="92">
        <v>-0.30530000000000002</v>
      </c>
      <c r="F146" s="93" t="s">
        <v>226</v>
      </c>
    </row>
    <row r="147" spans="1:6" ht="21.75" customHeight="1" x14ac:dyDescent="0.25"/>
    <row r="148" spans="1:6" ht="21.75" customHeight="1" x14ac:dyDescent="0.25">
      <c r="A148" s="11" t="s">
        <v>227</v>
      </c>
      <c r="B148" s="11"/>
      <c r="C148" s="11"/>
      <c r="D148" s="11"/>
      <c r="E148" s="11"/>
      <c r="F148" s="11"/>
    </row>
    <row r="149" spans="1:6" ht="21.75" customHeight="1" x14ac:dyDescent="0.25"/>
    <row r="150" spans="1:6" ht="21.75" customHeight="1" x14ac:dyDescent="0.25"/>
    <row r="151" spans="1:6" ht="21.75" customHeight="1" x14ac:dyDescent="0.25">
      <c r="A151" s="12" t="s">
        <v>228</v>
      </c>
      <c r="B151" s="12"/>
      <c r="C151" s="12"/>
      <c r="D151" s="12"/>
      <c r="E151" s="12"/>
      <c r="F151" s="12"/>
    </row>
    <row r="152" spans="1:6" ht="21.75" customHeight="1" x14ac:dyDescent="0.25">
      <c r="A152" s="24" t="s">
        <v>87</v>
      </c>
      <c r="B152" s="24" t="s">
        <v>229</v>
      </c>
      <c r="C152" s="24" t="s">
        <v>230</v>
      </c>
      <c r="D152" s="24" t="s">
        <v>231</v>
      </c>
      <c r="E152" s="24" t="s">
        <v>232</v>
      </c>
      <c r="F152" s="24" t="s">
        <v>233</v>
      </c>
    </row>
    <row r="153" spans="1:6" ht="21.75" customHeight="1" x14ac:dyDescent="0.25">
      <c r="A153" s="51" t="s">
        <v>190</v>
      </c>
      <c r="B153" s="66">
        <f>'P&amp;L'!B11</f>
        <v>0.22</v>
      </c>
      <c r="C153" s="66">
        <f>'P&amp;L'!C11</f>
        <v>0.22</v>
      </c>
      <c r="D153" s="52" t="str">
        <f>IF(C153&gt;B153,"📈 Cải thiện",IF(C153&lt;B153,"📉 Suy giảm","➡️ Ổn định"))</f>
        <v>➡️ Ổn định</v>
      </c>
      <c r="E153" s="27" t="str">
        <f>IF(C153&lt;0.1,"🔴 KHẨN CẤP",IF(C153&lt;0.15,"🟡 THEO DÕI","🟢 ỔN ĐỊNH"))</f>
        <v>🟢 ỔN ĐỊNH</v>
      </c>
      <c r="F153" s="70" t="s">
        <v>234</v>
      </c>
    </row>
    <row r="154" spans="1:6" ht="21.75" customHeight="1" x14ac:dyDescent="0.25">
      <c r="A154" s="54" t="s">
        <v>193</v>
      </c>
      <c r="B154" s="71">
        <f>IFERROR('P&amp;L'!C4/'P&amp;L'!B4-1,0)</f>
        <v>0.14999999999999991</v>
      </c>
      <c r="C154" s="71">
        <f>IFERROR('P&amp;L'!D4/'P&amp;L'!C4-1,0)</f>
        <v>0.14999999999999991</v>
      </c>
      <c r="D154" s="28" t="str">
        <f>IF(C154&gt;B154,"📈 Tăng tốc",IF(C154&lt;B154,"📉 Chậm lại","➡️ Ổn định"))</f>
        <v>➡️ Ổn định</v>
      </c>
      <c r="E154" s="27" t="str">
        <f>IF(C154&lt;0,"🔴 KHẨN CẤP",IF(C154&lt;0.05,"🟡 THEO DÕI","🟢 ỔN ĐỊNH"))</f>
        <v>🟢 ỔN ĐỊNH</v>
      </c>
      <c r="F154" s="29" t="s">
        <v>235</v>
      </c>
    </row>
    <row r="155" spans="1:6" ht="21.75" customHeight="1" x14ac:dyDescent="0.25">
      <c r="A155" s="51" t="s">
        <v>194</v>
      </c>
      <c r="B155" s="94">
        <f>'Cash Flow'!B17</f>
        <v>3080</v>
      </c>
      <c r="C155" s="94">
        <f>'Cash Flow'!C17</f>
        <v>4538</v>
      </c>
      <c r="D155" s="52" t="str">
        <f>IF(C155&gt;B155,"📈 Tăng",IF(C155&lt;B155,"📉 Giảm","➡️ Ổn định"))</f>
        <v>📈 Tăng</v>
      </c>
      <c r="E155" s="27" t="str">
        <f>IF(C155&lt;500,"🔴 KHẨN CẤP",IF(C155&lt;1000,"🟡 THEO DÕI","🟢 ỔN ĐỊNH"))</f>
        <v>🟢 ỔN ĐỊNH</v>
      </c>
      <c r="F155" s="70" t="s">
        <v>165</v>
      </c>
    </row>
    <row r="156" spans="1:6" ht="21.75" customHeight="1" x14ac:dyDescent="0.25">
      <c r="A156" s="54" t="s">
        <v>198</v>
      </c>
      <c r="B156" s="71">
        <f>IFERROR('P&amp;L'!B17/'Balance Sheet'!B28,0)</f>
        <v>0.18274111675126903</v>
      </c>
      <c r="C156" s="71">
        <f>IFERROR('P&amp;L'!C17/'Balance Sheet'!C28,0)</f>
        <v>0.15095676824946846</v>
      </c>
      <c r="D156" s="28" t="str">
        <f>IF(C156&gt;B156,"📈 Cải thiện",IF(C156&lt;B156,"📉 Suy giảm","➡️ Ổn định"))</f>
        <v>📉 Suy giảm</v>
      </c>
      <c r="E156" s="27" t="str">
        <f>IF(C156&lt;0,"🔴 KHẨN CẤP",IF(C156&lt;0.0966,"🟡 THEO DÕI","🟢 ỔN ĐỊNH"))</f>
        <v>🟢 ỔN ĐỊNH</v>
      </c>
      <c r="F156" s="29" t="s">
        <v>173</v>
      </c>
    </row>
    <row r="157" spans="1:6" ht="21.75" customHeight="1" x14ac:dyDescent="0.25">
      <c r="A157" s="51" t="s">
        <v>236</v>
      </c>
      <c r="B157" s="75">
        <f>IFERROR('Balance Sheet'!B24/'Balance Sheet'!B28,0)</f>
        <v>0</v>
      </c>
      <c r="C157" s="75">
        <f>IFERROR('Balance Sheet'!C24/'Balance Sheet'!C28,0)</f>
        <v>0</v>
      </c>
      <c r="D157" s="52" t="str">
        <f>IF(C157&lt;B157,"📈 Cải thiện",IF(C157&gt;B157,"📉 Tăng nợ","➡️ Ổn định"))</f>
        <v>➡️ Ổn định</v>
      </c>
      <c r="E157" s="27" t="str">
        <f>IF(C157&gt;2,"🔴 KHẨN CẤP",IF(C157&gt;1.5,"🟡 THEO DÕI","🟢 ỔN ĐỊNH"))</f>
        <v>🟢 ỔN ĐỊNH</v>
      </c>
      <c r="F157" s="70" t="s">
        <v>169</v>
      </c>
    </row>
    <row r="158" spans="1:6" ht="21.75" customHeight="1" x14ac:dyDescent="0.25"/>
    <row r="159" spans="1:6" ht="21.75" customHeight="1" x14ac:dyDescent="0.25"/>
    <row r="160" spans="1:6" ht="21.75" customHeight="1" x14ac:dyDescent="0.25"/>
    <row r="165" spans="1:6" ht="21.75" customHeight="1" x14ac:dyDescent="0.25">
      <c r="A165" s="12" t="s">
        <v>237</v>
      </c>
      <c r="B165" s="12"/>
      <c r="C165" s="12"/>
      <c r="D165" s="12"/>
      <c r="E165" s="12"/>
      <c r="F165" s="12"/>
    </row>
    <row r="166" spans="1:6" ht="21.75" customHeight="1" x14ac:dyDescent="0.25">
      <c r="A166" s="24" t="s">
        <v>1</v>
      </c>
      <c r="B166" s="24" t="s">
        <v>2</v>
      </c>
      <c r="C166" s="24" t="s">
        <v>238</v>
      </c>
    </row>
    <row r="167" spans="1:6" ht="21.75" customHeight="1" x14ac:dyDescent="0.25">
      <c r="A167" s="51" t="s">
        <v>239</v>
      </c>
      <c r="B167" s="95">
        <f>0.48</f>
        <v>0.48</v>
      </c>
      <c r="C167" s="9" t="s">
        <v>240</v>
      </c>
      <c r="D167" s="9"/>
      <c r="E167" s="9"/>
      <c r="F167" s="9"/>
    </row>
    <row r="168" spans="1:6" ht="21.75" customHeight="1" x14ac:dyDescent="0.25">
      <c r="A168" s="54" t="s">
        <v>241</v>
      </c>
      <c r="B168" s="55">
        <v>0.1111</v>
      </c>
      <c r="C168" s="8" t="s">
        <v>242</v>
      </c>
      <c r="D168" s="8"/>
      <c r="E168" s="8"/>
      <c r="F168" s="8"/>
    </row>
    <row r="169" spans="1:6" ht="21.75" customHeight="1" x14ac:dyDescent="0.25">
      <c r="A169" s="51" t="s">
        <v>243</v>
      </c>
      <c r="B169" s="95">
        <v>0.81</v>
      </c>
      <c r="C169" s="9" t="s">
        <v>244</v>
      </c>
      <c r="D169" s="9"/>
      <c r="E169" s="9"/>
      <c r="F169" s="9"/>
    </row>
    <row r="170" spans="1:6" ht="21.75" customHeight="1" x14ac:dyDescent="0.25">
      <c r="A170" s="96" t="s">
        <v>245</v>
      </c>
      <c r="B170" s="84">
        <v>0.1099</v>
      </c>
      <c r="C170" s="8" t="s">
        <v>246</v>
      </c>
      <c r="D170" s="8"/>
      <c r="E170" s="8"/>
      <c r="F170" s="8"/>
    </row>
    <row r="171" spans="1:6" ht="21.75" customHeight="1" x14ac:dyDescent="0.25">
      <c r="A171" s="51" t="s">
        <v>247</v>
      </c>
      <c r="B171" s="97">
        <v>1.177</v>
      </c>
      <c r="C171" s="9" t="s">
        <v>248</v>
      </c>
      <c r="D171" s="9"/>
      <c r="E171" s="9"/>
      <c r="F171" s="9"/>
    </row>
    <row r="172" spans="1:6" ht="21.75" customHeight="1" x14ac:dyDescent="0.25">
      <c r="A172" s="54" t="s">
        <v>249</v>
      </c>
      <c r="B172" s="55">
        <v>0.14149999999999999</v>
      </c>
      <c r="C172" s="8" t="s">
        <v>250</v>
      </c>
      <c r="D172" s="8"/>
      <c r="E172" s="8"/>
      <c r="F172" s="8"/>
    </row>
    <row r="173" spans="1:6" ht="21.75" customHeight="1" x14ac:dyDescent="0.25">
      <c r="A173" s="51" t="s">
        <v>251</v>
      </c>
      <c r="B173" s="53">
        <v>0.06</v>
      </c>
      <c r="C173" s="9" t="s">
        <v>252</v>
      </c>
      <c r="D173" s="9"/>
      <c r="E173" s="9"/>
      <c r="F173" s="9"/>
    </row>
    <row r="174" spans="1:6" ht="21.75" customHeight="1" x14ac:dyDescent="0.25">
      <c r="A174" s="96" t="s">
        <v>253</v>
      </c>
      <c r="B174" s="90">
        <v>0.15509999999999999</v>
      </c>
      <c r="C174" s="8" t="s">
        <v>254</v>
      </c>
      <c r="D174" s="8"/>
      <c r="E174" s="8"/>
      <c r="F174" s="8"/>
    </row>
    <row r="175" spans="1:6" ht="21.75" customHeight="1" x14ac:dyDescent="0.25"/>
    <row r="176" spans="1:6" ht="21.75" customHeight="1" x14ac:dyDescent="0.25"/>
    <row r="177" spans="1:6" ht="21.75" customHeight="1" x14ac:dyDescent="0.25">
      <c r="A177" s="13" t="s">
        <v>255</v>
      </c>
      <c r="B177" s="13"/>
      <c r="C177" s="13"/>
      <c r="D177" s="13"/>
      <c r="E177" s="13"/>
      <c r="F177" s="13"/>
    </row>
    <row r="178" spans="1:6" ht="21.75" customHeight="1" x14ac:dyDescent="0.25">
      <c r="A178" s="11" t="s">
        <v>256</v>
      </c>
      <c r="B178" s="11"/>
      <c r="C178" s="11"/>
      <c r="D178" s="11"/>
      <c r="E178" s="11"/>
      <c r="F178" s="11"/>
    </row>
    <row r="179" spans="1:6" ht="21.75" customHeight="1" x14ac:dyDescent="0.25">
      <c r="A179" s="24" t="s">
        <v>257</v>
      </c>
      <c r="B179" s="24" t="s">
        <v>258</v>
      </c>
      <c r="C179" s="24" t="s">
        <v>259</v>
      </c>
      <c r="D179" s="24" t="s">
        <v>260</v>
      </c>
      <c r="E179" s="24" t="s">
        <v>261</v>
      </c>
      <c r="F179" s="24" t="s">
        <v>203</v>
      </c>
    </row>
    <row r="180" spans="1:6" ht="21.75" customHeight="1" x14ac:dyDescent="0.25">
      <c r="A180" s="51" t="s">
        <v>93</v>
      </c>
      <c r="B180" s="66">
        <f>'P&amp;L'!B11</f>
        <v>0.22</v>
      </c>
      <c r="C180" s="63">
        <v>0.2</v>
      </c>
      <c r="D180" s="63">
        <v>0.15</v>
      </c>
      <c r="E180" s="63">
        <v>0.1</v>
      </c>
      <c r="F180" s="27" t="str">
        <f>IF(B180&gt;=C180,"🟢 TỐT",IF(B180&gt;=D180,"🟡 CẢNH BÁO",IF(B180&gt;=E180,"🟠 NGUY HIỂM","🔴 KHẨN CẤP")))</f>
        <v>🟢 TỐT</v>
      </c>
    </row>
    <row r="181" spans="1:6" ht="21.75" customHeight="1" x14ac:dyDescent="0.25">
      <c r="A181" s="54" t="s">
        <v>94</v>
      </c>
      <c r="B181" s="71">
        <f>'P&amp;L'!B18</f>
        <v>0.14399999999999999</v>
      </c>
      <c r="C181" s="63">
        <v>0.12</v>
      </c>
      <c r="D181" s="63">
        <v>0.08</v>
      </c>
      <c r="E181" s="63">
        <v>0.05</v>
      </c>
      <c r="F181" s="27" t="str">
        <f>IF(B181&gt;=C181,"🟢 TỐT",IF(B181&gt;=D181,"🟡 CẢNH BÁO",IF(B181&gt;=E181,"🟠 NGUY HIỂM","🔴 KHẨN CẤP")))</f>
        <v>🟢 TỐT</v>
      </c>
    </row>
    <row r="182" spans="1:6" ht="21.75" customHeight="1" x14ac:dyDescent="0.25">
      <c r="A182" s="51" t="s">
        <v>158</v>
      </c>
      <c r="B182" s="66">
        <f>IFERROR('P&amp;L'!C4/'P&amp;L'!B4-1,0)</f>
        <v>0.14999999999999991</v>
      </c>
      <c r="C182" s="63">
        <v>0.1</v>
      </c>
      <c r="D182" s="63">
        <v>0.05</v>
      </c>
      <c r="E182" s="63">
        <v>0</v>
      </c>
      <c r="F182" s="27" t="str">
        <f>IF(B182&gt;=C182,"🟢 TỐT",IF(B182&gt;=D182,"🟡 CẢNH BÁO",IF(B182&gt;=E182,"🟠 NGUY HIỂM","🔴 KHẨN CẤP")))</f>
        <v>🟢 TỐT</v>
      </c>
    </row>
    <row r="183" spans="1:6" ht="21.75" customHeight="1" x14ac:dyDescent="0.25">
      <c r="A183" s="54" t="s">
        <v>262</v>
      </c>
      <c r="B183" s="72">
        <f>'Cash Flow'!B17</f>
        <v>3080</v>
      </c>
      <c r="C183" s="64">
        <v>2000</v>
      </c>
      <c r="D183" s="64">
        <v>1000</v>
      </c>
      <c r="E183" s="64">
        <v>500</v>
      </c>
      <c r="F183" s="27" t="str">
        <f>IF(B183&gt;=C183,"🟢 TỐT",IF(B183&gt;=D183,"🟡 CẢNH BÁO",IF(B183&gt;=E183,"🟠 NGUY HIỂM","🔴 KHẨN CẤP")))</f>
        <v>🟢 TỐT</v>
      </c>
    </row>
    <row r="184" spans="1:6" ht="21.75" customHeight="1" x14ac:dyDescent="0.25">
      <c r="A184" s="51" t="s">
        <v>263</v>
      </c>
      <c r="B184" s="75">
        <f>IFERROR('Balance Sheet'!B24/'Balance Sheet'!B28,0)</f>
        <v>0</v>
      </c>
      <c r="C184" s="65">
        <v>1</v>
      </c>
      <c r="D184" s="65">
        <v>1.5</v>
      </c>
      <c r="E184" s="65">
        <v>2</v>
      </c>
      <c r="F184" s="27" t="str">
        <f>IF(B184&lt;=C184,"🟢 TỐT",IF(B184&lt;=D184,"🟡 CẢNH BÁO",IF(B184&lt;=E184,"🟠 NGUY HIỂM","🔴 KHẨN CẤP")))</f>
        <v>🟢 TỐT</v>
      </c>
    </row>
    <row r="185" spans="1:6" ht="21.75" customHeight="1" x14ac:dyDescent="0.25">
      <c r="A185" s="54" t="s">
        <v>98</v>
      </c>
      <c r="B185" s="71">
        <f>IFERROR('P&amp;L'!B17/'Balance Sheet'!B28,0)</f>
        <v>0.18274111675126903</v>
      </c>
      <c r="C185" s="63">
        <v>0.2</v>
      </c>
      <c r="D185" s="63">
        <v>0.1111</v>
      </c>
      <c r="E185" s="63">
        <v>0</v>
      </c>
      <c r="F185" s="27" t="str">
        <f>IF(B185&gt;=C185,"🟢 TỐT",IF(B185&gt;=D185,"🟡 CẢNH BÁO",IF(B185&gt;=E185,"🟠 NGUY HIỂM","🔴 KHẨN CẤP")))</f>
        <v>🟡 CẢNH BÁO</v>
      </c>
    </row>
    <row r="186" spans="1:6" ht="21.75" customHeight="1" x14ac:dyDescent="0.25">
      <c r="A186" s="51" t="s">
        <v>264</v>
      </c>
      <c r="B186" s="75">
        <f>IFERROR('Balance Sheet'!B10/'Balance Sheet'!B24,0)</f>
        <v>0</v>
      </c>
      <c r="C186" s="65">
        <v>2</v>
      </c>
      <c r="D186" s="65">
        <v>1.5</v>
      </c>
      <c r="E186" s="65">
        <v>1</v>
      </c>
      <c r="F186" s="27" t="str">
        <f>IF(B186&gt;=C186,"🟢 TỐT",IF(B186&gt;=D186,"🟡 CẢNH BÁO",IF(B186&gt;=E186,"🟠 NGUY HIỂM","🔴 KHẨN CẤP")))</f>
        <v>🔴 KHẨN CẤP</v>
      </c>
    </row>
    <row r="187" spans="1:6" ht="21.75" customHeight="1" x14ac:dyDescent="0.25">
      <c r="A187" s="54" t="s">
        <v>265</v>
      </c>
      <c r="B187" s="71" t="s">
        <v>266</v>
      </c>
      <c r="C187" s="63">
        <v>0.1099</v>
      </c>
      <c r="D187" s="63">
        <v>0.1111</v>
      </c>
      <c r="E187" s="63">
        <v>0.13109999999999999</v>
      </c>
      <c r="F187" s="27" t="str">
        <f>IF(B187&lt;=C187,"🟢 TỐT",IF(B187&lt;=D187,"🟡 CẢNH BÁO",IF(B187&lt;=E187,"🟠 NGUY HIỂM","🔴 KHẨN CẤP")))</f>
        <v>🔴 KHẨN CẤP</v>
      </c>
    </row>
    <row r="188" spans="1:6" ht="21.75" customHeight="1" x14ac:dyDescent="0.25"/>
    <row r="189" spans="1:6" ht="21.75" customHeight="1" x14ac:dyDescent="0.25">
      <c r="A189" s="42" t="s">
        <v>267</v>
      </c>
      <c r="B189" s="78">
        <f>COUNTIF(F180:F187,"*TỐT*")</f>
        <v>5</v>
      </c>
      <c r="C189" s="79">
        <f>COUNTIF(F180:F187,"*CẢNH*")</f>
        <v>1</v>
      </c>
      <c r="D189" s="80">
        <f>COUNTIF(F180:F187,"*KHẨN*")</f>
        <v>2</v>
      </c>
      <c r="E189" s="7" t="str">
        <f>IF(D189&gt;0,"🔴 CẦN HÀNH ĐỘNG NGAY",IF(C189&gt;0,"🟡 THEO DÕI SÁT","🟢 HOẠT ĐỘNG TỐT"))</f>
        <v>🔴 CẦN HÀNH ĐỘNG NGAY</v>
      </c>
      <c r="F189" s="7"/>
    </row>
    <row r="190" spans="1:6" ht="21.75" customHeight="1" x14ac:dyDescent="0.25">
      <c r="A190" s="12" t="s">
        <v>268</v>
      </c>
      <c r="B190" s="12"/>
      <c r="C190" s="12"/>
      <c r="D190" s="12"/>
      <c r="E190" s="12"/>
      <c r="F190" s="12"/>
    </row>
    <row r="191" spans="1:6" ht="21.75" customHeight="1" x14ac:dyDescent="0.25">
      <c r="A191" s="24" t="s">
        <v>269</v>
      </c>
      <c r="B191" s="24" t="s">
        <v>270</v>
      </c>
      <c r="C191" s="24" t="s">
        <v>271</v>
      </c>
      <c r="D191" s="24" t="s">
        <v>272</v>
      </c>
      <c r="E191" s="24" t="s">
        <v>273</v>
      </c>
      <c r="F191" s="24" t="s">
        <v>274</v>
      </c>
    </row>
    <row r="192" spans="1:6" ht="21.75" customHeight="1" x14ac:dyDescent="0.25">
      <c r="A192" s="51" t="s">
        <v>275</v>
      </c>
      <c r="B192" s="95">
        <v>0.45</v>
      </c>
      <c r="C192" s="95">
        <v>0.48136645962732899</v>
      </c>
      <c r="D192" s="98">
        <v>0.03</v>
      </c>
      <c r="E192" s="53">
        <v>0.1115</v>
      </c>
      <c r="F192" s="87" t="s">
        <v>276</v>
      </c>
    </row>
    <row r="193" spans="1:6" ht="21.75" customHeight="1" x14ac:dyDescent="0.25">
      <c r="A193" s="54" t="s">
        <v>277</v>
      </c>
      <c r="B193" s="57">
        <v>0.6</v>
      </c>
      <c r="C193" s="57">
        <v>0.48136645962732899</v>
      </c>
      <c r="D193" s="99">
        <v>-0.12</v>
      </c>
      <c r="E193" s="55">
        <v>0.1132</v>
      </c>
      <c r="F193" s="85" t="s">
        <v>278</v>
      </c>
    </row>
    <row r="194" spans="1:6" ht="21.75" customHeight="1" x14ac:dyDescent="0.25">
      <c r="A194" s="51" t="s">
        <v>279</v>
      </c>
      <c r="B194" s="95">
        <v>0.8</v>
      </c>
      <c r="C194" s="95">
        <v>0.48136645962732899</v>
      </c>
      <c r="D194" s="99">
        <v>-0.32</v>
      </c>
      <c r="E194" s="53">
        <v>0.1183</v>
      </c>
      <c r="F194" s="85" t="s">
        <v>278</v>
      </c>
    </row>
    <row r="195" spans="1:6" ht="21.75" customHeight="1" x14ac:dyDescent="0.25">
      <c r="A195" s="54" t="s">
        <v>280</v>
      </c>
      <c r="B195" s="57">
        <v>0.3</v>
      </c>
      <c r="C195" s="57">
        <v>0.48136645962732899</v>
      </c>
      <c r="D195" s="98">
        <v>0.18</v>
      </c>
      <c r="E195" s="55">
        <v>0.104</v>
      </c>
      <c r="F195" s="87" t="s">
        <v>276</v>
      </c>
    </row>
    <row r="196" spans="1:6" ht="21.75" customHeight="1" x14ac:dyDescent="0.25">
      <c r="A196" s="51" t="s">
        <v>281</v>
      </c>
      <c r="B196" s="95">
        <v>1.2</v>
      </c>
      <c r="C196" s="95">
        <v>0.48136645962732899</v>
      </c>
      <c r="D196" s="99">
        <v>-0.72</v>
      </c>
      <c r="E196" s="53">
        <v>0.1153</v>
      </c>
      <c r="F196" s="85" t="s">
        <v>282</v>
      </c>
    </row>
    <row r="197" spans="1:6" ht="21.75" customHeight="1" x14ac:dyDescent="0.25"/>
    <row r="198" spans="1:6" ht="21.75" customHeight="1" x14ac:dyDescent="0.25"/>
    <row r="199" spans="1:6" ht="21.75" customHeight="1" x14ac:dyDescent="0.25">
      <c r="A199" s="13" t="s">
        <v>283</v>
      </c>
      <c r="B199" s="13"/>
      <c r="C199" s="13"/>
      <c r="D199" s="13"/>
      <c r="E199" s="13"/>
      <c r="F199" s="13"/>
    </row>
    <row r="200" spans="1:6" ht="21.75" customHeight="1" x14ac:dyDescent="0.25">
      <c r="A200" s="24" t="s">
        <v>1</v>
      </c>
      <c r="B200" s="24" t="s">
        <v>19</v>
      </c>
      <c r="C200" s="24" t="s">
        <v>20</v>
      </c>
      <c r="D200" s="24" t="s">
        <v>21</v>
      </c>
      <c r="E200" s="24" t="s">
        <v>22</v>
      </c>
      <c r="F200" s="24" t="s">
        <v>23</v>
      </c>
    </row>
    <row r="201" spans="1:6" ht="21.75" customHeight="1" x14ac:dyDescent="0.25">
      <c r="A201" s="51" t="s">
        <v>284</v>
      </c>
      <c r="B201" s="56">
        <v>3399</v>
      </c>
      <c r="C201" s="56">
        <v>4053</v>
      </c>
      <c r="D201" s="56">
        <v>4919</v>
      </c>
      <c r="E201" s="56">
        <v>5544</v>
      </c>
      <c r="F201" s="56">
        <v>6523</v>
      </c>
    </row>
    <row r="202" spans="1:6" ht="21.75" customHeight="1" x14ac:dyDescent="0.25">
      <c r="A202" s="58" t="s">
        <v>285</v>
      </c>
      <c r="B202" s="59">
        <v>1287</v>
      </c>
      <c r="C202" s="59">
        <v>1478</v>
      </c>
      <c r="D202" s="59">
        <v>1867</v>
      </c>
      <c r="E202" s="59">
        <v>2051</v>
      </c>
      <c r="F202" s="59">
        <v>2458</v>
      </c>
    </row>
    <row r="203" spans="1:6" ht="21.75" customHeight="1" x14ac:dyDescent="0.25">
      <c r="A203" s="58" t="s">
        <v>286</v>
      </c>
      <c r="B203" s="59">
        <v>838</v>
      </c>
      <c r="C203" s="59">
        <v>966</v>
      </c>
      <c r="D203" s="59">
        <v>1278</v>
      </c>
      <c r="E203" s="59">
        <v>1391</v>
      </c>
      <c r="F203" s="59">
        <v>1695</v>
      </c>
    </row>
    <row r="204" spans="1:6" ht="21.75" customHeight="1" x14ac:dyDescent="0.25">
      <c r="A204" s="100" t="s">
        <v>287</v>
      </c>
      <c r="B204" s="101">
        <v>1152</v>
      </c>
      <c r="C204" s="101">
        <v>1152</v>
      </c>
      <c r="D204" s="101">
        <v>1152</v>
      </c>
      <c r="E204" s="101">
        <v>1152</v>
      </c>
      <c r="F204" s="101">
        <v>1152</v>
      </c>
    </row>
    <row r="205" spans="1:6" ht="21.75" customHeight="1" x14ac:dyDescent="0.25">
      <c r="A205" s="51" t="s">
        <v>288</v>
      </c>
      <c r="B205" s="53">
        <v>0.74450000000000005</v>
      </c>
      <c r="C205" s="53">
        <v>0.71399999999999997</v>
      </c>
      <c r="D205" s="53">
        <v>0.75</v>
      </c>
      <c r="E205" s="53">
        <v>0.73399999999999999</v>
      </c>
      <c r="F205" s="53">
        <v>0.76600000000000001</v>
      </c>
    </row>
    <row r="206" spans="1:6" ht="21.75" customHeight="1" x14ac:dyDescent="0.25"/>
    <row r="215" spans="1:6" ht="21.75" customHeight="1" x14ac:dyDescent="0.25">
      <c r="A215" s="12" t="s">
        <v>289</v>
      </c>
      <c r="B215" s="12"/>
      <c r="C215" s="12"/>
      <c r="D215" s="12"/>
      <c r="E215" s="12"/>
      <c r="F215" s="12"/>
    </row>
    <row r="216" spans="1:6" ht="21.75" customHeight="1" x14ac:dyDescent="0.25">
      <c r="A216" s="24" t="s">
        <v>290</v>
      </c>
      <c r="B216" s="24" t="s">
        <v>291</v>
      </c>
      <c r="C216" s="24" t="s">
        <v>292</v>
      </c>
      <c r="D216" s="24" t="s">
        <v>293</v>
      </c>
      <c r="E216" s="24" t="s">
        <v>294</v>
      </c>
      <c r="F216" s="24" t="s">
        <v>295</v>
      </c>
    </row>
    <row r="217" spans="1:6" ht="21.75" customHeight="1" x14ac:dyDescent="0.25">
      <c r="A217" s="51" t="s">
        <v>275</v>
      </c>
      <c r="B217" s="95">
        <v>0.5</v>
      </c>
      <c r="C217" s="53">
        <v>0.1109</v>
      </c>
      <c r="D217" s="53">
        <v>0.1111</v>
      </c>
      <c r="E217" s="90">
        <v>2.0000000000000001E-4</v>
      </c>
      <c r="F217" s="85" t="s">
        <v>296</v>
      </c>
    </row>
    <row r="218" spans="1:6" ht="21.75" customHeight="1" x14ac:dyDescent="0.25">
      <c r="A218" s="54" t="s">
        <v>277</v>
      </c>
      <c r="B218" s="57">
        <v>0.65</v>
      </c>
      <c r="C218" s="55">
        <v>0.1129</v>
      </c>
      <c r="D218" s="55">
        <v>0.1142</v>
      </c>
      <c r="E218" s="90">
        <v>1.2999999999999999E-3</v>
      </c>
      <c r="F218" s="85" t="s">
        <v>296</v>
      </c>
    </row>
    <row r="219" spans="1:6" ht="21.75" customHeight="1" x14ac:dyDescent="0.25">
      <c r="A219" s="51" t="s">
        <v>279</v>
      </c>
      <c r="B219" s="95">
        <v>0.85</v>
      </c>
      <c r="C219" s="53">
        <v>0.1181</v>
      </c>
      <c r="D219" s="53">
        <v>0.1203</v>
      </c>
      <c r="E219" s="90">
        <v>2.2000000000000001E-3</v>
      </c>
      <c r="F219" s="85" t="s">
        <v>296</v>
      </c>
    </row>
    <row r="220" spans="1:6" ht="21.75" customHeight="1" x14ac:dyDescent="0.25">
      <c r="A220" s="54" t="s">
        <v>280</v>
      </c>
      <c r="B220" s="57">
        <v>0.35</v>
      </c>
      <c r="C220" s="55">
        <v>0.10680000000000001</v>
      </c>
      <c r="D220" s="55">
        <v>0.1051</v>
      </c>
      <c r="E220" s="102">
        <v>-1.6999999999999999E-3</v>
      </c>
      <c r="F220" s="87" t="s">
        <v>297</v>
      </c>
    </row>
    <row r="221" spans="1:6" ht="21.75" customHeight="1" x14ac:dyDescent="0.25">
      <c r="A221" s="51" t="s">
        <v>298</v>
      </c>
      <c r="B221" s="95">
        <v>0.45</v>
      </c>
      <c r="C221" s="53">
        <v>0.1085</v>
      </c>
      <c r="D221" s="53">
        <v>0.1081</v>
      </c>
      <c r="E221" s="102">
        <v>-4.0000000000000002E-4</v>
      </c>
      <c r="F221" s="87" t="s">
        <v>297</v>
      </c>
    </row>
    <row r="222" spans="1:6" ht="21.75" customHeight="1" x14ac:dyDescent="0.25"/>
    <row r="223" spans="1:6" ht="21.75" customHeight="1" x14ac:dyDescent="0.25"/>
    <row r="224" spans="1:6" ht="21.75" customHeight="1" x14ac:dyDescent="0.25">
      <c r="A224" s="13" t="s">
        <v>299</v>
      </c>
      <c r="B224" s="13"/>
      <c r="C224" s="13"/>
      <c r="D224" s="13"/>
      <c r="E224" s="13"/>
      <c r="F224" s="13"/>
    </row>
    <row r="225" spans="1:6" ht="21.75" customHeight="1" x14ac:dyDescent="0.25">
      <c r="A225" s="24" t="s">
        <v>137</v>
      </c>
      <c r="B225" s="24" t="s">
        <v>300</v>
      </c>
      <c r="C225" s="24" t="s">
        <v>301</v>
      </c>
      <c r="D225" s="24" t="s">
        <v>284</v>
      </c>
      <c r="E225" s="24" t="s">
        <v>302</v>
      </c>
      <c r="F225" s="24" t="s">
        <v>303</v>
      </c>
    </row>
    <row r="226" spans="1:6" ht="21.75" customHeight="1" x14ac:dyDescent="0.25">
      <c r="A226" s="47" t="s">
        <v>304</v>
      </c>
      <c r="B226" s="67">
        <v>4.4999999999999998E-2</v>
      </c>
      <c r="C226" s="67">
        <v>9.3700000000000006E-2</v>
      </c>
      <c r="D226" s="73">
        <v>3455</v>
      </c>
      <c r="E226" s="103">
        <v>56</v>
      </c>
      <c r="F226" s="85" t="s">
        <v>305</v>
      </c>
    </row>
    <row r="227" spans="1:6" ht="21.75" customHeight="1" x14ac:dyDescent="0.25">
      <c r="A227" s="47" t="s">
        <v>306</v>
      </c>
      <c r="B227" s="67">
        <v>5.1999999999999998E-2</v>
      </c>
      <c r="C227" s="67">
        <v>0.1023</v>
      </c>
      <c r="D227" s="73">
        <v>3538</v>
      </c>
      <c r="E227" s="103">
        <v>139</v>
      </c>
      <c r="F227" s="85" t="s">
        <v>305</v>
      </c>
    </row>
    <row r="228" spans="1:6" ht="21.75" customHeight="1" x14ac:dyDescent="0.25">
      <c r="A228" s="104" t="s">
        <v>307</v>
      </c>
      <c r="B228" s="83">
        <v>0.06</v>
      </c>
      <c r="C228" s="83">
        <v>0.1111</v>
      </c>
      <c r="D228" s="101">
        <v>3348</v>
      </c>
      <c r="E228" s="105">
        <v>-51</v>
      </c>
      <c r="F228" s="106" t="s">
        <v>308</v>
      </c>
    </row>
    <row r="229" spans="1:6" ht="21.75" customHeight="1" x14ac:dyDescent="0.25">
      <c r="A229" s="51" t="s">
        <v>309</v>
      </c>
      <c r="B229" s="53">
        <v>6.8000000000000005E-2</v>
      </c>
      <c r="C229" s="53">
        <v>0.12</v>
      </c>
      <c r="D229" s="56">
        <v>3344</v>
      </c>
      <c r="E229" s="107">
        <v>-55</v>
      </c>
      <c r="F229" s="52" t="s">
        <v>308</v>
      </c>
    </row>
    <row r="230" spans="1:6" ht="21.75" customHeight="1" x14ac:dyDescent="0.25">
      <c r="A230" s="51" t="s">
        <v>310</v>
      </c>
      <c r="B230" s="53">
        <v>7.4999999999999997E-2</v>
      </c>
      <c r="C230" s="53">
        <v>0.1285</v>
      </c>
      <c r="D230" s="56">
        <v>3298</v>
      </c>
      <c r="E230" s="107">
        <v>-101</v>
      </c>
      <c r="F230" s="52" t="s">
        <v>308</v>
      </c>
    </row>
    <row r="231" spans="1:6" ht="21.75" customHeight="1" x14ac:dyDescent="0.25">
      <c r="A231" s="51" t="s">
        <v>311</v>
      </c>
      <c r="B231" s="53">
        <v>0.08</v>
      </c>
      <c r="C231" s="53">
        <v>0.1366</v>
      </c>
      <c r="D231" s="56">
        <v>3243</v>
      </c>
      <c r="E231" s="107">
        <v>-156</v>
      </c>
      <c r="F231" s="52" t="s">
        <v>308</v>
      </c>
    </row>
    <row r="232" spans="1:6" ht="21.75" customHeight="1" x14ac:dyDescent="0.25">
      <c r="A232" s="51" t="s">
        <v>312</v>
      </c>
      <c r="B232" s="53">
        <v>0.09</v>
      </c>
      <c r="C232" s="53">
        <v>0.1527</v>
      </c>
      <c r="D232" s="56">
        <v>3247</v>
      </c>
      <c r="E232" s="107">
        <v>-152</v>
      </c>
      <c r="F232" s="52" t="s">
        <v>308</v>
      </c>
    </row>
    <row r="233" spans="1:6" ht="21.75" customHeight="1" x14ac:dyDescent="0.25"/>
    <row r="234" spans="1:6" ht="21.75" customHeight="1" x14ac:dyDescent="0.25"/>
    <row r="235" spans="1:6" ht="21.75" customHeight="1" x14ac:dyDescent="0.25">
      <c r="A235" s="6" t="s">
        <v>313</v>
      </c>
      <c r="B235" s="6"/>
      <c r="C235" s="6"/>
      <c r="D235" s="6"/>
      <c r="E235" s="6"/>
      <c r="F235" s="6"/>
    </row>
    <row r="236" spans="1:6" ht="21.75" customHeight="1" x14ac:dyDescent="0.25">
      <c r="A236" s="24" t="s">
        <v>314</v>
      </c>
      <c r="B236" s="24" t="s">
        <v>315</v>
      </c>
      <c r="C236" s="24" t="s">
        <v>316</v>
      </c>
      <c r="D236" s="24" t="s">
        <v>153</v>
      </c>
      <c r="E236" s="24" t="s">
        <v>233</v>
      </c>
    </row>
    <row r="237" spans="1:6" ht="21.75" customHeight="1" x14ac:dyDescent="0.25">
      <c r="A237" s="96" t="s">
        <v>317</v>
      </c>
      <c r="B237" s="91" t="s">
        <v>318</v>
      </c>
      <c r="C237" s="108">
        <v>0.7</v>
      </c>
      <c r="D237" s="85"/>
      <c r="E237" s="47" t="s">
        <v>319</v>
      </c>
    </row>
    <row r="238" spans="1:6" ht="21.75" customHeight="1" x14ac:dyDescent="0.25">
      <c r="A238" s="104" t="s">
        <v>320</v>
      </c>
      <c r="B238" s="106" t="s">
        <v>321</v>
      </c>
      <c r="C238" s="109">
        <v>0.5</v>
      </c>
      <c r="D238" s="106" t="s">
        <v>322</v>
      </c>
      <c r="E238" s="104" t="s">
        <v>323</v>
      </c>
    </row>
    <row r="239" spans="1:6" ht="21.75" customHeight="1" x14ac:dyDescent="0.25">
      <c r="A239" s="110" t="s">
        <v>324</v>
      </c>
      <c r="B239" s="111" t="s">
        <v>325</v>
      </c>
      <c r="C239" s="112">
        <v>0.35</v>
      </c>
      <c r="D239" s="113"/>
      <c r="E239" s="114" t="s">
        <v>326</v>
      </c>
    </row>
    <row r="240" spans="1:6" ht="21.75" customHeight="1" x14ac:dyDescent="0.25">
      <c r="A240" s="115" t="s">
        <v>327</v>
      </c>
      <c r="B240" s="93" t="s">
        <v>328</v>
      </c>
      <c r="C240" s="116">
        <v>0.2</v>
      </c>
      <c r="D240" s="117"/>
      <c r="E240" s="43" t="s">
        <v>329</v>
      </c>
    </row>
    <row r="241" ht="21.75" customHeight="1" x14ac:dyDescent="0.25"/>
  </sheetData>
  <mergeCells count="29">
    <mergeCell ref="A199:F199"/>
    <mergeCell ref="A215:F215"/>
    <mergeCell ref="A224:F224"/>
    <mergeCell ref="A235:F235"/>
    <mergeCell ref="C174:F174"/>
    <mergeCell ref="A177:F177"/>
    <mergeCell ref="A178:F178"/>
    <mergeCell ref="E189:F189"/>
    <mergeCell ref="A190:F190"/>
    <mergeCell ref="C169:F169"/>
    <mergeCell ref="C170:F170"/>
    <mergeCell ref="C171:F171"/>
    <mergeCell ref="C172:F172"/>
    <mergeCell ref="C173:F173"/>
    <mergeCell ref="A148:F148"/>
    <mergeCell ref="A151:F151"/>
    <mergeCell ref="A165:F165"/>
    <mergeCell ref="C167:F167"/>
    <mergeCell ref="C168:F168"/>
    <mergeCell ref="A110:F110"/>
    <mergeCell ref="A111:F111"/>
    <mergeCell ref="A122:F122"/>
    <mergeCell ref="A135:F135"/>
    <mergeCell ref="A140:F140"/>
    <mergeCell ref="A25:F25"/>
    <mergeCell ref="A33:F33"/>
    <mergeCell ref="A90:F90"/>
    <mergeCell ref="A100:F100"/>
    <mergeCell ref="A109:F10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zoomScaleNormal="100" workbookViewId="0">
      <selection activeCell="G12" sqref="G12"/>
    </sheetView>
  </sheetViews>
  <sheetFormatPr defaultColWidth="8.7109375" defaultRowHeight="15" x14ac:dyDescent="0.25"/>
  <cols>
    <col min="1" max="1" width="35" customWidth="1"/>
    <col min="2" max="5" width="14" customWidth="1"/>
    <col min="6" max="6" width="25" customWidth="1"/>
    <col min="7" max="7" width="14" customWidth="1"/>
  </cols>
  <sheetData>
    <row r="1" spans="1:7" ht="21.75" customHeight="1" x14ac:dyDescent="0.25">
      <c r="A1" s="5" t="s">
        <v>330</v>
      </c>
      <c r="B1" s="5"/>
      <c r="C1" s="5"/>
      <c r="D1" s="5"/>
      <c r="E1" s="5"/>
      <c r="F1" s="5"/>
      <c r="G1" s="5"/>
    </row>
    <row r="2" spans="1:7" ht="21.75" customHeight="1" x14ac:dyDescent="0.25"/>
    <row r="3" spans="1:7" ht="21.75" customHeight="1" x14ac:dyDescent="0.25">
      <c r="A3" s="24" t="s">
        <v>331</v>
      </c>
      <c r="B3" s="24" t="s">
        <v>332</v>
      </c>
      <c r="C3" s="24" t="s">
        <v>333</v>
      </c>
      <c r="D3" s="24" t="s">
        <v>334</v>
      </c>
      <c r="E3" s="24" t="s">
        <v>335</v>
      </c>
      <c r="F3" s="24" t="s">
        <v>295</v>
      </c>
      <c r="G3" s="24" t="s">
        <v>336</v>
      </c>
    </row>
    <row r="4" spans="1:7" ht="21.75" customHeight="1" x14ac:dyDescent="0.25">
      <c r="A4" s="51" t="s">
        <v>337</v>
      </c>
      <c r="B4" s="85" t="s">
        <v>338</v>
      </c>
      <c r="C4" s="28"/>
      <c r="D4" s="85" t="s">
        <v>338</v>
      </c>
      <c r="E4" s="28"/>
      <c r="F4" s="51" t="s">
        <v>339</v>
      </c>
      <c r="G4" s="52" t="s">
        <v>340</v>
      </c>
    </row>
    <row r="5" spans="1:7" ht="21.75" customHeight="1" x14ac:dyDescent="0.25">
      <c r="A5" s="54" t="s">
        <v>341</v>
      </c>
      <c r="B5" s="85" t="s">
        <v>338</v>
      </c>
      <c r="C5" s="28"/>
      <c r="D5" s="85" t="s">
        <v>338</v>
      </c>
      <c r="E5" s="28"/>
      <c r="F5" s="54" t="s">
        <v>339</v>
      </c>
      <c r="G5" s="28" t="s">
        <v>340</v>
      </c>
    </row>
    <row r="6" spans="1:7" ht="21.75" customHeight="1" x14ac:dyDescent="0.25">
      <c r="A6" s="51" t="s">
        <v>342</v>
      </c>
      <c r="B6" s="85" t="s">
        <v>338</v>
      </c>
      <c r="C6" s="28"/>
      <c r="D6" s="85" t="s">
        <v>338</v>
      </c>
      <c r="E6" s="28"/>
      <c r="F6" s="51" t="s">
        <v>339</v>
      </c>
      <c r="G6" s="52" t="s">
        <v>340</v>
      </c>
    </row>
    <row r="7" spans="1:7" ht="21.75" customHeight="1" x14ac:dyDescent="0.25">
      <c r="A7" s="54" t="s">
        <v>343</v>
      </c>
      <c r="B7" s="28"/>
      <c r="C7" s="117" t="s">
        <v>344</v>
      </c>
      <c r="D7" s="85" t="s">
        <v>338</v>
      </c>
      <c r="E7" s="28"/>
      <c r="F7" s="54" t="s">
        <v>345</v>
      </c>
      <c r="G7" s="28" t="s">
        <v>346</v>
      </c>
    </row>
    <row r="8" spans="1:7" ht="21.75" customHeight="1" x14ac:dyDescent="0.25">
      <c r="A8" s="51" t="s">
        <v>347</v>
      </c>
      <c r="B8" s="28"/>
      <c r="C8" s="117" t="s">
        <v>344</v>
      </c>
      <c r="D8" s="85" t="s">
        <v>338</v>
      </c>
      <c r="E8" s="28"/>
      <c r="F8" s="51" t="s">
        <v>345</v>
      </c>
      <c r="G8" s="52" t="s">
        <v>346</v>
      </c>
    </row>
    <row r="9" spans="1:7" ht="21.75" customHeight="1" x14ac:dyDescent="0.25">
      <c r="A9" s="54" t="s">
        <v>348</v>
      </c>
      <c r="B9" s="28"/>
      <c r="C9" s="117" t="s">
        <v>344</v>
      </c>
      <c r="D9" s="85" t="s">
        <v>338</v>
      </c>
      <c r="E9" s="28"/>
      <c r="F9" s="54" t="s">
        <v>345</v>
      </c>
      <c r="G9" s="28" t="s">
        <v>349</v>
      </c>
    </row>
    <row r="10" spans="1:7" ht="21.75" customHeight="1" x14ac:dyDescent="0.25">
      <c r="A10" s="51" t="s">
        <v>350</v>
      </c>
      <c r="B10" s="85" t="s">
        <v>338</v>
      </c>
      <c r="C10" s="28"/>
      <c r="D10" s="85" t="s">
        <v>338</v>
      </c>
      <c r="E10" s="28"/>
      <c r="F10" s="51" t="s">
        <v>339</v>
      </c>
      <c r="G10" s="52" t="s">
        <v>346</v>
      </c>
    </row>
    <row r="11" spans="1:7" ht="21.75" customHeight="1" x14ac:dyDescent="0.25">
      <c r="A11" s="54" t="s">
        <v>351</v>
      </c>
      <c r="B11" s="85" t="s">
        <v>338</v>
      </c>
      <c r="C11" s="28"/>
      <c r="D11" s="28"/>
      <c r="E11" s="117" t="s">
        <v>344</v>
      </c>
      <c r="F11" s="54" t="s">
        <v>352</v>
      </c>
      <c r="G11" s="28" t="s">
        <v>353</v>
      </c>
    </row>
    <row r="12" spans="1:7" ht="21.75" customHeight="1" x14ac:dyDescent="0.25">
      <c r="A12" s="51" t="s">
        <v>354</v>
      </c>
      <c r="B12" s="28"/>
      <c r="C12" s="117" t="s">
        <v>344</v>
      </c>
      <c r="D12" s="85" t="s">
        <v>338</v>
      </c>
      <c r="E12" s="28"/>
      <c r="F12" s="51" t="s">
        <v>345</v>
      </c>
      <c r="G12" s="52" t="s">
        <v>353</v>
      </c>
    </row>
    <row r="13" spans="1:7" ht="21.75" customHeight="1" x14ac:dyDescent="0.25">
      <c r="A13" s="54" t="s">
        <v>355</v>
      </c>
      <c r="B13" s="28"/>
      <c r="C13" s="117" t="s">
        <v>344</v>
      </c>
      <c r="D13" s="85" t="s">
        <v>338</v>
      </c>
      <c r="E13" s="28"/>
      <c r="F13" s="54" t="s">
        <v>345</v>
      </c>
      <c r="G13" s="28" t="s">
        <v>353</v>
      </c>
    </row>
    <row r="14" spans="1:7" ht="21.75" customHeight="1" x14ac:dyDescent="0.25">
      <c r="A14" s="51" t="s">
        <v>356</v>
      </c>
      <c r="B14" s="28" t="s">
        <v>357</v>
      </c>
      <c r="C14" s="28"/>
      <c r="D14" s="28" t="s">
        <v>346</v>
      </c>
      <c r="E14" s="28"/>
      <c r="F14" s="51" t="s">
        <v>358</v>
      </c>
      <c r="G14" s="52" t="s">
        <v>353</v>
      </c>
    </row>
    <row r="15" spans="1:7" ht="21.75" customHeight="1" x14ac:dyDescent="0.25">
      <c r="A15" s="54" t="s">
        <v>359</v>
      </c>
      <c r="B15" s="28" t="s">
        <v>360</v>
      </c>
      <c r="C15" s="28"/>
      <c r="D15" s="28" t="s">
        <v>349</v>
      </c>
      <c r="E15" s="28"/>
      <c r="F15" s="54" t="s">
        <v>361</v>
      </c>
      <c r="G15" s="28" t="s">
        <v>353</v>
      </c>
    </row>
    <row r="16" spans="1:7" ht="21.75" customHeight="1" x14ac:dyDescent="0.25"/>
    <row r="17" spans="1:7" ht="21.75" customHeight="1" x14ac:dyDescent="0.25">
      <c r="A17" s="4" t="s">
        <v>362</v>
      </c>
      <c r="B17" s="4"/>
      <c r="C17" s="4"/>
      <c r="D17" s="4"/>
      <c r="E17" s="4"/>
      <c r="F17" s="4"/>
      <c r="G17" s="4"/>
    </row>
  </sheetData>
  <mergeCells count="2">
    <mergeCell ref="A1:G1"/>
    <mergeCell ref="A17:G17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zoomScaleNormal="100" workbookViewId="0">
      <selection sqref="A1:P1"/>
    </sheetView>
  </sheetViews>
  <sheetFormatPr defaultColWidth="8.7109375" defaultRowHeight="15" x14ac:dyDescent="0.25"/>
  <cols>
    <col min="1" max="1" width="32" customWidth="1"/>
    <col min="2" max="15" width="12" customWidth="1"/>
  </cols>
  <sheetData>
    <row r="1" spans="1:16" ht="21.75" customHeight="1" x14ac:dyDescent="0.25">
      <c r="A1" s="5" t="s">
        <v>363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21.75" customHeight="1" x14ac:dyDescent="0.25"/>
    <row r="3" spans="1:16" ht="21.75" customHeight="1" x14ac:dyDescent="0.25">
      <c r="A3" s="24" t="s">
        <v>1</v>
      </c>
      <c r="B3" s="24" t="s">
        <v>364</v>
      </c>
      <c r="C3" s="24" t="s">
        <v>365</v>
      </c>
      <c r="D3" s="24" t="s">
        <v>366</v>
      </c>
      <c r="E3" s="24" t="s">
        <v>367</v>
      </c>
      <c r="F3" s="24" t="s">
        <v>368</v>
      </c>
      <c r="G3" s="24" t="s">
        <v>369</v>
      </c>
      <c r="H3" s="24" t="s">
        <v>370</v>
      </c>
      <c r="I3" s="24" t="s">
        <v>371</v>
      </c>
      <c r="J3" s="24" t="s">
        <v>372</v>
      </c>
      <c r="K3" s="24" t="s">
        <v>373</v>
      </c>
      <c r="L3" s="24" t="s">
        <v>374</v>
      </c>
      <c r="M3" s="24" t="s">
        <v>375</v>
      </c>
      <c r="N3" s="24" t="s">
        <v>376</v>
      </c>
      <c r="O3" s="25" t="s">
        <v>377</v>
      </c>
    </row>
    <row r="4" spans="1:16" ht="21.75" customHeight="1" x14ac:dyDescent="0.25">
      <c r="A4" s="42" t="s">
        <v>378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6" ht="21.75" customHeight="1" x14ac:dyDescent="0.25">
      <c r="A5" s="51" t="s">
        <v>379</v>
      </c>
      <c r="B5" s="119">
        <f>ROUND('P&amp;L'!$B$4/52,0)</f>
        <v>385</v>
      </c>
      <c r="C5" s="119">
        <f>ROUND('P&amp;L'!$B$4/52,0)</f>
        <v>385</v>
      </c>
      <c r="D5" s="119">
        <f>ROUND('P&amp;L'!$B$4/52,0)</f>
        <v>385</v>
      </c>
      <c r="E5" s="119">
        <f>ROUND('P&amp;L'!$B$4/52,0)</f>
        <v>385</v>
      </c>
      <c r="F5" s="119">
        <f>ROUND('P&amp;L'!$B$4/52,0)</f>
        <v>385</v>
      </c>
      <c r="G5" s="119">
        <f>ROUND('P&amp;L'!$B$4/52,0)</f>
        <v>385</v>
      </c>
      <c r="H5" s="119">
        <f>ROUND('P&amp;L'!$B$4/52,0)</f>
        <v>385</v>
      </c>
      <c r="I5" s="119">
        <f>ROUND('P&amp;L'!$B$4/52,0)</f>
        <v>385</v>
      </c>
      <c r="J5" s="119">
        <f>ROUND('P&amp;L'!$B$4/52,0)</f>
        <v>385</v>
      </c>
      <c r="K5" s="119">
        <f>ROUND('P&amp;L'!$B$4/52,0)</f>
        <v>385</v>
      </c>
      <c r="L5" s="119">
        <f>ROUND('P&amp;L'!$B$4/52,0)</f>
        <v>385</v>
      </c>
      <c r="M5" s="119">
        <f>ROUND('P&amp;L'!$B$4/52,0)</f>
        <v>385</v>
      </c>
      <c r="N5" s="119">
        <f>ROUND('P&amp;L'!$B$4/52,0)</f>
        <v>385</v>
      </c>
      <c r="O5" s="119">
        <f>SUM(B5:N5)</f>
        <v>5005</v>
      </c>
    </row>
    <row r="6" spans="1:16" ht="21.75" customHeight="1" x14ac:dyDescent="0.25">
      <c r="A6" s="54" t="s">
        <v>380</v>
      </c>
      <c r="B6" s="120">
        <f>ROUND('P&amp;L'!$B$4*0.01/52,0)</f>
        <v>4</v>
      </c>
      <c r="C6" s="120">
        <f>ROUND('P&amp;L'!$B$4*0.01/52,0)</f>
        <v>4</v>
      </c>
      <c r="D6" s="120">
        <f>ROUND('P&amp;L'!$B$4*0.01/52,0)</f>
        <v>4</v>
      </c>
      <c r="E6" s="120">
        <f>ROUND('P&amp;L'!$B$4*0.01/52,0)</f>
        <v>4</v>
      </c>
      <c r="F6" s="120">
        <f>ROUND('P&amp;L'!$B$4*0.01/52,0)</f>
        <v>4</v>
      </c>
      <c r="G6" s="120">
        <f>ROUND('P&amp;L'!$B$4*0.01/52,0)</f>
        <v>4</v>
      </c>
      <c r="H6" s="120">
        <f>ROUND('P&amp;L'!$B$4*0.01/52,0)</f>
        <v>4</v>
      </c>
      <c r="I6" s="120">
        <f>ROUND('P&amp;L'!$B$4*0.01/52,0)</f>
        <v>4</v>
      </c>
      <c r="J6" s="120">
        <f>ROUND('P&amp;L'!$B$4*0.01/52,0)</f>
        <v>4</v>
      </c>
      <c r="K6" s="120">
        <f>ROUND('P&amp;L'!$B$4*0.01/52,0)</f>
        <v>4</v>
      </c>
      <c r="L6" s="120">
        <f>ROUND('P&amp;L'!$B$4*0.01/52,0)</f>
        <v>4</v>
      </c>
      <c r="M6" s="120">
        <f>ROUND('P&amp;L'!$B$4*0.01/52,0)</f>
        <v>4</v>
      </c>
      <c r="N6" s="120">
        <f>ROUND('P&amp;L'!$B$4*0.01/52,0)</f>
        <v>4</v>
      </c>
      <c r="O6" s="120">
        <f>SUM(B6:N6)</f>
        <v>52</v>
      </c>
    </row>
    <row r="7" spans="1:16" ht="21.75" customHeight="1" x14ac:dyDescent="0.25">
      <c r="A7" s="121" t="s">
        <v>381</v>
      </c>
      <c r="B7" s="122">
        <f>B5+B6</f>
        <v>389</v>
      </c>
      <c r="C7" s="122">
        <f>B5+B6</f>
        <v>389</v>
      </c>
      <c r="D7" s="122">
        <f>B5+B6</f>
        <v>389</v>
      </c>
      <c r="E7" s="122">
        <f>B5+B6</f>
        <v>389</v>
      </c>
      <c r="F7" s="122">
        <f>B5+B6</f>
        <v>389</v>
      </c>
      <c r="G7" s="122">
        <f>B5+B6</f>
        <v>389</v>
      </c>
      <c r="H7" s="122">
        <f>B5+B6</f>
        <v>389</v>
      </c>
      <c r="I7" s="122">
        <f>B5+B6</f>
        <v>389</v>
      </c>
      <c r="J7" s="122">
        <f>B5+B6</f>
        <v>389</v>
      </c>
      <c r="K7" s="122">
        <f>B5+B6</f>
        <v>389</v>
      </c>
      <c r="L7" s="122">
        <f>B5+B6</f>
        <v>389</v>
      </c>
      <c r="M7" s="122">
        <f>B5+B6</f>
        <v>389</v>
      </c>
      <c r="N7" s="122">
        <f>B5+B6</f>
        <v>389</v>
      </c>
      <c r="O7" s="123">
        <f>SUM(B7:N7)</f>
        <v>5057</v>
      </c>
    </row>
    <row r="8" spans="1:16" ht="21.75" customHeight="1" x14ac:dyDescent="0.25">
      <c r="A8" s="42" t="s">
        <v>382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6" ht="21.75" customHeight="1" x14ac:dyDescent="0.25">
      <c r="A9" s="51" t="s">
        <v>383</v>
      </c>
      <c r="B9" s="119">
        <f>ROUND('P&amp;L'!$B$5/52,0)</f>
        <v>-231</v>
      </c>
      <c r="C9" s="119">
        <f>ROUND('P&amp;L'!$B$5/52,0)</f>
        <v>-231</v>
      </c>
      <c r="D9" s="119">
        <f>ROUND('P&amp;L'!$B$5/52,0)</f>
        <v>-231</v>
      </c>
      <c r="E9" s="119">
        <f>ROUND('P&amp;L'!$B$5/52,0)</f>
        <v>-231</v>
      </c>
      <c r="F9" s="119">
        <f>ROUND('P&amp;L'!$B$5/52,0)</f>
        <v>-231</v>
      </c>
      <c r="G9" s="119">
        <f>ROUND('P&amp;L'!$B$5/52,0)</f>
        <v>-231</v>
      </c>
      <c r="H9" s="119">
        <f>ROUND('P&amp;L'!$B$5/52,0)</f>
        <v>-231</v>
      </c>
      <c r="I9" s="119">
        <f>ROUND('P&amp;L'!$B$5/52,0)</f>
        <v>-231</v>
      </c>
      <c r="J9" s="119">
        <f>ROUND('P&amp;L'!$B$5/52,0)</f>
        <v>-231</v>
      </c>
      <c r="K9" s="119">
        <f>ROUND('P&amp;L'!$B$5/52,0)</f>
        <v>-231</v>
      </c>
      <c r="L9" s="119">
        <f>ROUND('P&amp;L'!$B$5/52,0)</f>
        <v>-231</v>
      </c>
      <c r="M9" s="119">
        <f>ROUND('P&amp;L'!$B$5/52,0)</f>
        <v>-231</v>
      </c>
      <c r="N9" s="119">
        <f>ROUND('P&amp;L'!$B$5/52,0)</f>
        <v>-231</v>
      </c>
      <c r="O9" s="119">
        <f>SUM(B9:N9)</f>
        <v>-3003</v>
      </c>
    </row>
    <row r="10" spans="1:16" ht="21.75" customHeight="1" x14ac:dyDescent="0.25">
      <c r="A10" s="54" t="s">
        <v>384</v>
      </c>
      <c r="B10" s="120">
        <f>ROUND(('P&amp;L'!$B$8+'P&amp;L'!$B$9)/52,0)</f>
        <v>-69</v>
      </c>
      <c r="C10" s="120">
        <f>ROUND(('P&amp;L'!$B$8+'P&amp;L'!$B$9)/52,0)</f>
        <v>-69</v>
      </c>
      <c r="D10" s="120">
        <f>ROUND(('P&amp;L'!$B$8+'P&amp;L'!$B$9)/52,0)</f>
        <v>-69</v>
      </c>
      <c r="E10" s="120">
        <f>ROUND(('P&amp;L'!$B$8+'P&amp;L'!$B$9)/52,0)</f>
        <v>-69</v>
      </c>
      <c r="F10" s="120">
        <f>ROUND(('P&amp;L'!$B$8+'P&amp;L'!$B$9)/52,0)</f>
        <v>-69</v>
      </c>
      <c r="G10" s="120">
        <f>ROUND(('P&amp;L'!$B$8+'P&amp;L'!$B$9)/52,0)</f>
        <v>-69</v>
      </c>
      <c r="H10" s="120">
        <f>ROUND(('P&amp;L'!$B$8+'P&amp;L'!$B$9)/52,0)</f>
        <v>-69</v>
      </c>
      <c r="I10" s="120">
        <f>ROUND(('P&amp;L'!$B$8+'P&amp;L'!$B$9)/52,0)</f>
        <v>-69</v>
      </c>
      <c r="J10" s="120">
        <f>ROUND(('P&amp;L'!$B$8+'P&amp;L'!$B$9)/52,0)</f>
        <v>-69</v>
      </c>
      <c r="K10" s="120">
        <f>ROUND(('P&amp;L'!$B$8+'P&amp;L'!$B$9)/52,0)</f>
        <v>-69</v>
      </c>
      <c r="L10" s="120">
        <f>ROUND(('P&amp;L'!$B$8+'P&amp;L'!$B$9)/52,0)</f>
        <v>-69</v>
      </c>
      <c r="M10" s="120">
        <f>ROUND(('P&amp;L'!$B$8+'P&amp;L'!$B$9)/52,0)</f>
        <v>-69</v>
      </c>
      <c r="N10" s="120">
        <f>ROUND(('P&amp;L'!$B$8+'P&amp;L'!$B$9)/52,0)</f>
        <v>-69</v>
      </c>
      <c r="O10" s="120">
        <f>SUM(B10:N10)</f>
        <v>-897</v>
      </c>
    </row>
    <row r="11" spans="1:16" ht="21.75" customHeight="1" x14ac:dyDescent="0.25">
      <c r="A11" s="51" t="s">
        <v>385</v>
      </c>
      <c r="B11" s="119">
        <f>ROUND('Giả Định'!$B$11/52,0)</f>
        <v>6</v>
      </c>
      <c r="C11" s="119">
        <f>ROUND('Giả Định'!$B$11/52,0)</f>
        <v>6</v>
      </c>
      <c r="D11" s="119">
        <f>ROUND('Giả Định'!$B$11/52,0)</f>
        <v>6</v>
      </c>
      <c r="E11" s="119">
        <f>ROUND('Giả Định'!$B$11/52,0)</f>
        <v>6</v>
      </c>
      <c r="F11" s="119">
        <f>ROUND('Giả Định'!$B$11/52,0)</f>
        <v>6</v>
      </c>
      <c r="G11" s="119">
        <f>ROUND('Giả Định'!$B$11/52,0)</f>
        <v>6</v>
      </c>
      <c r="H11" s="119">
        <f>ROUND('Giả Định'!$B$11/52,0)</f>
        <v>6</v>
      </c>
      <c r="I11" s="119">
        <f>ROUND('Giả Định'!$B$11/52,0)</f>
        <v>6</v>
      </c>
      <c r="J11" s="119">
        <f>ROUND('Giả Định'!$B$11/52,0)</f>
        <v>6</v>
      </c>
      <c r="K11" s="119">
        <f>ROUND('Giả Định'!$B$11/52,0)</f>
        <v>6</v>
      </c>
      <c r="L11" s="119">
        <f>ROUND('Giả Định'!$B$11/52,0)</f>
        <v>6</v>
      </c>
      <c r="M11" s="119">
        <f>ROUND('Giả Định'!$B$11/52,0)</f>
        <v>6</v>
      </c>
      <c r="N11" s="119">
        <f>ROUND('Giả Định'!$B$11/52,0)</f>
        <v>6</v>
      </c>
      <c r="O11" s="119">
        <f>SUM(B11:N11)</f>
        <v>78</v>
      </c>
    </row>
    <row r="12" spans="1:16" ht="21.75" customHeight="1" x14ac:dyDescent="0.25">
      <c r="A12" s="121" t="s">
        <v>386</v>
      </c>
      <c r="B12" s="122">
        <f>B9+B10+B11</f>
        <v>-294</v>
      </c>
      <c r="C12" s="122">
        <f>B9+B10+B11</f>
        <v>-294</v>
      </c>
      <c r="D12" s="122">
        <f>B9+B10+B11</f>
        <v>-294</v>
      </c>
      <c r="E12" s="122">
        <f>B9+B10+B11</f>
        <v>-294</v>
      </c>
      <c r="F12" s="122">
        <f>B9+B10+B11</f>
        <v>-294</v>
      </c>
      <c r="G12" s="122">
        <f>B9+B10+B11</f>
        <v>-294</v>
      </c>
      <c r="H12" s="122">
        <f>B9+B10+B11</f>
        <v>-294</v>
      </c>
      <c r="I12" s="122">
        <f>B9+B10+B11</f>
        <v>-294</v>
      </c>
      <c r="J12" s="122">
        <f>B9+B10+B11</f>
        <v>-294</v>
      </c>
      <c r="K12" s="122">
        <f>B9+B10+B11</f>
        <v>-294</v>
      </c>
      <c r="L12" s="122">
        <f>B9+B10+B11</f>
        <v>-294</v>
      </c>
      <c r="M12" s="122">
        <f>B9+B10+B11</f>
        <v>-294</v>
      </c>
      <c r="N12" s="122">
        <f>B9+B10+B11</f>
        <v>-294</v>
      </c>
      <c r="O12" s="123">
        <f>SUM(B12:N12)</f>
        <v>-3822</v>
      </c>
    </row>
    <row r="13" spans="1:16" ht="21.75" customHeight="1" x14ac:dyDescent="0.25">
      <c r="A13" s="81" t="s">
        <v>387</v>
      </c>
      <c r="B13" s="124">
        <f>B7+B12</f>
        <v>95</v>
      </c>
      <c r="C13" s="124">
        <f>B7+B12</f>
        <v>95</v>
      </c>
      <c r="D13" s="124">
        <f>B7+B12</f>
        <v>95</v>
      </c>
      <c r="E13" s="124">
        <f>B7+B12</f>
        <v>95</v>
      </c>
      <c r="F13" s="124">
        <f>B7+B12</f>
        <v>95</v>
      </c>
      <c r="G13" s="124">
        <f>B7+B12</f>
        <v>95</v>
      </c>
      <c r="H13" s="124">
        <f>B7+B12</f>
        <v>95</v>
      </c>
      <c r="I13" s="124">
        <f>B7+B12</f>
        <v>95</v>
      </c>
      <c r="J13" s="124">
        <f>B7+B12</f>
        <v>95</v>
      </c>
      <c r="K13" s="124">
        <f>B7+B12</f>
        <v>95</v>
      </c>
      <c r="L13" s="124">
        <f>B7+B12</f>
        <v>95</v>
      </c>
      <c r="M13" s="124">
        <f>B7+B12</f>
        <v>95</v>
      </c>
      <c r="N13" s="124">
        <f>B7+B12</f>
        <v>95</v>
      </c>
      <c r="O13" s="123">
        <f>SUM(B13:N13)</f>
        <v>1235</v>
      </c>
    </row>
    <row r="14" spans="1:16" ht="21.75" customHeight="1" x14ac:dyDescent="0.25">
      <c r="A14" s="104" t="s">
        <v>388</v>
      </c>
      <c r="B14" s="125">
        <f>'Giả Định'!$B$15</f>
        <v>2000</v>
      </c>
      <c r="C14" s="125">
        <f t="shared" ref="C14:N14" si="0">B15</f>
        <v>2095</v>
      </c>
      <c r="D14" s="125">
        <f t="shared" si="0"/>
        <v>2190</v>
      </c>
      <c r="E14" s="125">
        <f t="shared" si="0"/>
        <v>2285</v>
      </c>
      <c r="F14" s="125">
        <f t="shared" si="0"/>
        <v>2380</v>
      </c>
      <c r="G14" s="125">
        <f t="shared" si="0"/>
        <v>2475</v>
      </c>
      <c r="H14" s="125">
        <f t="shared" si="0"/>
        <v>2570</v>
      </c>
      <c r="I14" s="125">
        <f t="shared" si="0"/>
        <v>2665</v>
      </c>
      <c r="J14" s="125">
        <f t="shared" si="0"/>
        <v>2760</v>
      </c>
      <c r="K14" s="125">
        <f t="shared" si="0"/>
        <v>2855</v>
      </c>
      <c r="L14" s="125">
        <f t="shared" si="0"/>
        <v>2950</v>
      </c>
      <c r="M14" s="125">
        <f t="shared" si="0"/>
        <v>3045</v>
      </c>
      <c r="N14" s="125">
        <f t="shared" si="0"/>
        <v>3140</v>
      </c>
      <c r="O14" s="45"/>
    </row>
    <row r="15" spans="1:16" ht="21.75" customHeight="1" x14ac:dyDescent="0.25">
      <c r="A15" s="96" t="s">
        <v>389</v>
      </c>
      <c r="B15" s="126">
        <f t="shared" ref="B15:N15" si="1">B13+B14</f>
        <v>2095</v>
      </c>
      <c r="C15" s="126">
        <f t="shared" si="1"/>
        <v>2190</v>
      </c>
      <c r="D15" s="126">
        <f t="shared" si="1"/>
        <v>2285</v>
      </c>
      <c r="E15" s="126">
        <f t="shared" si="1"/>
        <v>2380</v>
      </c>
      <c r="F15" s="126">
        <f t="shared" si="1"/>
        <v>2475</v>
      </c>
      <c r="G15" s="126">
        <f t="shared" si="1"/>
        <v>2570</v>
      </c>
      <c r="H15" s="126">
        <f t="shared" si="1"/>
        <v>2665</v>
      </c>
      <c r="I15" s="126">
        <f t="shared" si="1"/>
        <v>2760</v>
      </c>
      <c r="J15" s="126">
        <f t="shared" si="1"/>
        <v>2855</v>
      </c>
      <c r="K15" s="126">
        <f t="shared" si="1"/>
        <v>2950</v>
      </c>
      <c r="L15" s="126">
        <f t="shared" si="1"/>
        <v>3045</v>
      </c>
      <c r="M15" s="126">
        <f t="shared" si="1"/>
        <v>3140</v>
      </c>
      <c r="N15" s="126">
        <f t="shared" si="1"/>
        <v>3235</v>
      </c>
      <c r="O15" s="126">
        <f>N15</f>
        <v>3235</v>
      </c>
    </row>
    <row r="16" spans="1:16" ht="21.75" customHeight="1" x14ac:dyDescent="0.25"/>
    <row r="17" ht="21.75" customHeight="1" x14ac:dyDescent="0.25"/>
  </sheetData>
  <mergeCells count="1">
    <mergeCell ref="A1:P1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selection activeCell="H18" sqref="H18"/>
    </sheetView>
  </sheetViews>
  <sheetFormatPr defaultColWidth="8.7109375" defaultRowHeight="15" x14ac:dyDescent="0.25"/>
  <cols>
    <col min="1" max="1" width="20" customWidth="1"/>
    <col min="2" max="4" width="14" customWidth="1"/>
    <col min="5" max="5" width="25" bestFit="1" customWidth="1"/>
    <col min="6" max="7" width="14" customWidth="1"/>
  </cols>
  <sheetData>
    <row r="1" spans="1:11" ht="21.75" customHeight="1" x14ac:dyDescent="0.25">
      <c r="A1" s="5" t="s">
        <v>390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1.75" customHeight="1" x14ac:dyDescent="0.25"/>
    <row r="3" spans="1:11" ht="21.75" customHeight="1" x14ac:dyDescent="0.25">
      <c r="A3" s="14" t="s">
        <v>391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1.75" customHeight="1" x14ac:dyDescent="0.25">
      <c r="A4" s="127" t="s">
        <v>392</v>
      </c>
      <c r="B4" s="128">
        <v>0.3</v>
      </c>
      <c r="C4" s="128">
        <v>0.35</v>
      </c>
      <c r="D4" s="128">
        <v>0.4</v>
      </c>
      <c r="E4" s="128">
        <v>0.45</v>
      </c>
      <c r="F4" s="128">
        <v>0.5</v>
      </c>
    </row>
    <row r="5" spans="1:11" ht="21.75" customHeight="1" x14ac:dyDescent="0.25">
      <c r="A5" s="129">
        <v>-0.1</v>
      </c>
      <c r="B5" s="130">
        <v>1088</v>
      </c>
      <c r="C5" s="130">
        <v>1808</v>
      </c>
      <c r="D5" s="56">
        <v>2528</v>
      </c>
      <c r="E5" s="56">
        <v>3248</v>
      </c>
      <c r="F5" s="56">
        <v>3968</v>
      </c>
    </row>
    <row r="6" spans="1:11" ht="21.75" customHeight="1" x14ac:dyDescent="0.25">
      <c r="A6" s="131">
        <v>-0.05</v>
      </c>
      <c r="B6" s="130">
        <v>1184</v>
      </c>
      <c r="C6" s="130">
        <v>1944</v>
      </c>
      <c r="D6" s="86">
        <v>2704</v>
      </c>
      <c r="E6" s="86">
        <v>3464</v>
      </c>
      <c r="F6" s="73">
        <v>4224</v>
      </c>
    </row>
    <row r="7" spans="1:11" ht="21.75" customHeight="1" x14ac:dyDescent="0.25">
      <c r="A7" s="129">
        <v>0</v>
      </c>
      <c r="B7" s="130">
        <v>1280</v>
      </c>
      <c r="C7" s="56">
        <v>2080</v>
      </c>
      <c r="D7" s="56">
        <v>2880</v>
      </c>
      <c r="E7" s="56">
        <v>3680</v>
      </c>
      <c r="F7" s="73">
        <v>4480</v>
      </c>
    </row>
    <row r="8" spans="1:11" ht="21.75" customHeight="1" x14ac:dyDescent="0.25">
      <c r="A8" s="131">
        <v>0.05</v>
      </c>
      <c r="B8" s="130">
        <v>1376</v>
      </c>
      <c r="C8" s="86">
        <v>2216</v>
      </c>
      <c r="D8" s="86">
        <v>3056</v>
      </c>
      <c r="E8" s="86">
        <v>3896</v>
      </c>
      <c r="F8" s="73">
        <v>4736</v>
      </c>
    </row>
    <row r="9" spans="1:11" ht="21.75" customHeight="1" x14ac:dyDescent="0.25">
      <c r="A9" s="129">
        <v>0.1</v>
      </c>
      <c r="B9" s="130">
        <v>1472</v>
      </c>
      <c r="C9" s="56">
        <v>2352</v>
      </c>
      <c r="D9" s="56">
        <v>3232</v>
      </c>
      <c r="E9" s="73">
        <v>4112</v>
      </c>
      <c r="F9" s="73">
        <v>4992</v>
      </c>
    </row>
    <row r="10" spans="1:11" ht="21.75" customHeight="1" x14ac:dyDescent="0.25">
      <c r="A10" s="132">
        <v>0.15</v>
      </c>
      <c r="B10" s="130">
        <v>1568</v>
      </c>
      <c r="C10" s="133">
        <v>2488</v>
      </c>
      <c r="D10" s="134">
        <v>3408</v>
      </c>
      <c r="E10" s="73">
        <v>4328</v>
      </c>
      <c r="F10" s="73">
        <v>5248</v>
      </c>
    </row>
    <row r="11" spans="1:11" ht="21.75" customHeight="1" x14ac:dyDescent="0.25">
      <c r="A11" s="129">
        <v>0.2</v>
      </c>
      <c r="B11" s="130">
        <v>1664</v>
      </c>
      <c r="C11" s="56">
        <v>2624</v>
      </c>
      <c r="D11" s="56">
        <v>3584</v>
      </c>
      <c r="E11" s="73">
        <v>4544</v>
      </c>
      <c r="F11" s="73">
        <v>5504</v>
      </c>
    </row>
    <row r="12" spans="1:11" ht="21.75" customHeight="1" x14ac:dyDescent="0.25">
      <c r="A12" s="131">
        <v>0.25</v>
      </c>
      <c r="B12" s="130">
        <v>1760</v>
      </c>
      <c r="C12" s="86">
        <v>2760</v>
      </c>
      <c r="D12" s="86">
        <v>3760</v>
      </c>
      <c r="E12" s="73">
        <v>4760</v>
      </c>
      <c r="F12" s="73">
        <v>5760</v>
      </c>
    </row>
    <row r="13" spans="1:11" ht="21.75" customHeight="1" x14ac:dyDescent="0.25">
      <c r="A13" s="129">
        <v>0.3</v>
      </c>
      <c r="B13" s="130">
        <v>1856</v>
      </c>
      <c r="C13" s="56">
        <v>2896</v>
      </c>
      <c r="D13" s="56">
        <v>3936</v>
      </c>
      <c r="E13" s="73">
        <v>4976</v>
      </c>
      <c r="F13" s="73">
        <v>6016</v>
      </c>
    </row>
    <row r="14" spans="1:11" ht="21.75" customHeight="1" x14ac:dyDescent="0.25"/>
    <row r="15" spans="1:11" ht="21.75" customHeight="1" x14ac:dyDescent="0.25">
      <c r="A15" s="3" t="s">
        <v>393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1.75" customHeight="1" x14ac:dyDescent="0.25"/>
    <row r="17" spans="1:11" ht="21.75" customHeight="1" x14ac:dyDescent="0.25">
      <c r="A17" s="14" t="s">
        <v>394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21.75" customHeight="1" x14ac:dyDescent="0.25">
      <c r="A18" s="127" t="s">
        <v>395</v>
      </c>
      <c r="B18" s="128">
        <v>0.12</v>
      </c>
      <c r="C18" s="128">
        <v>0.15</v>
      </c>
      <c r="D18" s="128">
        <v>0.18</v>
      </c>
      <c r="E18" s="128">
        <v>0.21</v>
      </c>
      <c r="F18" s="128">
        <v>0.24</v>
      </c>
    </row>
    <row r="19" spans="1:11" ht="21.75" customHeight="1" x14ac:dyDescent="0.25">
      <c r="A19" s="129">
        <v>-0.1</v>
      </c>
      <c r="B19" s="73">
        <v>5040</v>
      </c>
      <c r="C19" s="56">
        <v>4500</v>
      </c>
      <c r="D19" s="56">
        <v>3960</v>
      </c>
      <c r="E19" s="56">
        <v>3420</v>
      </c>
      <c r="F19" s="56">
        <v>2880</v>
      </c>
    </row>
    <row r="20" spans="1:11" ht="21.75" customHeight="1" x14ac:dyDescent="0.25">
      <c r="A20" s="131">
        <v>-0.05</v>
      </c>
      <c r="B20" s="73">
        <v>5320</v>
      </c>
      <c r="C20" s="86">
        <v>4750</v>
      </c>
      <c r="D20" s="86">
        <v>4180</v>
      </c>
      <c r="E20" s="86">
        <v>3610</v>
      </c>
      <c r="F20" s="86">
        <v>3040</v>
      </c>
    </row>
    <row r="21" spans="1:11" ht="21.75" customHeight="1" x14ac:dyDescent="0.25">
      <c r="A21" s="129">
        <v>0</v>
      </c>
      <c r="B21" s="73">
        <v>5600</v>
      </c>
      <c r="C21" s="56">
        <v>5000</v>
      </c>
      <c r="D21" s="56">
        <v>4400</v>
      </c>
      <c r="E21" s="56">
        <v>3800</v>
      </c>
      <c r="F21" s="56">
        <v>3200</v>
      </c>
    </row>
    <row r="22" spans="1:11" ht="21.75" customHeight="1" x14ac:dyDescent="0.25">
      <c r="A22" s="131">
        <v>0.05</v>
      </c>
      <c r="B22" s="73">
        <v>5880</v>
      </c>
      <c r="C22" s="73">
        <v>5250</v>
      </c>
      <c r="D22" s="86">
        <v>4620</v>
      </c>
      <c r="E22" s="86">
        <v>3990</v>
      </c>
      <c r="F22" s="86">
        <v>3360</v>
      </c>
    </row>
    <row r="23" spans="1:11" ht="21.75" customHeight="1" x14ac:dyDescent="0.25">
      <c r="A23" s="129">
        <v>0.1</v>
      </c>
      <c r="B23" s="73">
        <v>6160</v>
      </c>
      <c r="C23" s="73">
        <v>5500</v>
      </c>
      <c r="D23" s="56">
        <v>4840</v>
      </c>
      <c r="E23" s="56">
        <v>4180</v>
      </c>
      <c r="F23" s="56">
        <v>3520</v>
      </c>
    </row>
    <row r="24" spans="1:11" ht="21.75" customHeight="1" x14ac:dyDescent="0.25">
      <c r="A24" s="132">
        <v>0.15</v>
      </c>
      <c r="B24" s="73">
        <v>6440</v>
      </c>
      <c r="C24" s="73">
        <v>5750</v>
      </c>
      <c r="D24" s="134">
        <v>5060</v>
      </c>
      <c r="E24" s="133">
        <v>4370</v>
      </c>
      <c r="F24" s="133">
        <v>3680</v>
      </c>
    </row>
    <row r="25" spans="1:11" ht="21.75" customHeight="1" x14ac:dyDescent="0.25">
      <c r="A25" s="129">
        <v>0.2</v>
      </c>
      <c r="B25" s="73">
        <v>6720</v>
      </c>
      <c r="C25" s="73">
        <v>6000</v>
      </c>
      <c r="D25" s="73">
        <v>5280</v>
      </c>
      <c r="E25" s="56">
        <v>4560</v>
      </c>
      <c r="F25" s="56">
        <v>3840</v>
      </c>
    </row>
    <row r="26" spans="1:11" ht="21.75" customHeight="1" x14ac:dyDescent="0.25">
      <c r="A26" s="131">
        <v>0.25</v>
      </c>
      <c r="B26" s="73">
        <v>7000</v>
      </c>
      <c r="C26" s="73">
        <v>6250</v>
      </c>
      <c r="D26" s="73">
        <v>5500</v>
      </c>
      <c r="E26" s="86">
        <v>4750</v>
      </c>
      <c r="F26" s="86">
        <v>4000</v>
      </c>
    </row>
    <row r="27" spans="1:11" ht="21.75" customHeight="1" x14ac:dyDescent="0.25">
      <c r="A27" s="129">
        <v>0.3</v>
      </c>
      <c r="B27" s="73">
        <v>7280</v>
      </c>
      <c r="C27" s="73">
        <v>6500</v>
      </c>
      <c r="D27" s="73">
        <v>5720</v>
      </c>
      <c r="E27" s="56">
        <v>4940</v>
      </c>
      <c r="F27" s="56">
        <v>4160</v>
      </c>
    </row>
    <row r="28" spans="1:11" ht="21.75" customHeight="1" x14ac:dyDescent="0.25"/>
    <row r="29" spans="1:11" ht="21.75" customHeight="1" x14ac:dyDescent="0.25">
      <c r="A29" s="3" t="s">
        <v>396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21.75" customHeight="1" x14ac:dyDescent="0.25"/>
    <row r="31" spans="1:11" ht="21.75" customHeight="1" x14ac:dyDescent="0.25">
      <c r="A31" s="14" t="s">
        <v>397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21.75" customHeight="1" x14ac:dyDescent="0.25">
      <c r="A32" s="127" t="s">
        <v>398</v>
      </c>
      <c r="B32" s="135">
        <v>0</v>
      </c>
      <c r="C32" s="135">
        <v>0.25</v>
      </c>
      <c r="D32" s="135">
        <v>0.5</v>
      </c>
      <c r="E32" s="135">
        <v>0.75</v>
      </c>
      <c r="F32" s="135">
        <v>1</v>
      </c>
    </row>
    <row r="33" spans="1:11" ht="21.75" customHeight="1" x14ac:dyDescent="0.25">
      <c r="A33" s="129">
        <v>-0.1</v>
      </c>
      <c r="B33" s="53">
        <v>0.21490000000000001</v>
      </c>
      <c r="C33" s="53">
        <v>0.2029</v>
      </c>
      <c r="D33" s="53">
        <v>0.19089999999999999</v>
      </c>
      <c r="E33" s="53">
        <v>0.1789</v>
      </c>
      <c r="F33" s="53">
        <v>0.16689999999999999</v>
      </c>
    </row>
    <row r="34" spans="1:11" ht="21.75" customHeight="1" x14ac:dyDescent="0.25">
      <c r="A34" s="131">
        <v>-0.05</v>
      </c>
      <c r="B34" s="55">
        <v>0.2286</v>
      </c>
      <c r="C34" s="55">
        <v>0.21659999999999999</v>
      </c>
      <c r="D34" s="55">
        <v>0.2046</v>
      </c>
      <c r="E34" s="55">
        <v>0.19259999999999999</v>
      </c>
      <c r="F34" s="55">
        <v>0.18060000000000001</v>
      </c>
    </row>
    <row r="35" spans="1:11" ht="21.75" customHeight="1" x14ac:dyDescent="0.25">
      <c r="A35" s="129">
        <v>0</v>
      </c>
      <c r="B35" s="53">
        <v>0.2422</v>
      </c>
      <c r="C35" s="53">
        <v>0.23019999999999999</v>
      </c>
      <c r="D35" s="53">
        <v>0.21820000000000001</v>
      </c>
      <c r="E35" s="53">
        <v>0.20619999999999999</v>
      </c>
      <c r="F35" s="53">
        <v>0.19420000000000001</v>
      </c>
    </row>
    <row r="36" spans="1:11" ht="21.75" customHeight="1" x14ac:dyDescent="0.25">
      <c r="A36" s="131">
        <v>0.05</v>
      </c>
      <c r="B36" s="55">
        <v>0.25590000000000002</v>
      </c>
      <c r="C36" s="55">
        <v>0.24390000000000001</v>
      </c>
      <c r="D36" s="55">
        <v>0.2319</v>
      </c>
      <c r="E36" s="55">
        <v>0.21990000000000001</v>
      </c>
      <c r="F36" s="55">
        <v>0.2079</v>
      </c>
    </row>
    <row r="37" spans="1:11" ht="21.75" customHeight="1" x14ac:dyDescent="0.25">
      <c r="A37" s="129">
        <v>0.1</v>
      </c>
      <c r="B37" s="53">
        <v>0.26960000000000001</v>
      </c>
      <c r="C37" s="53">
        <v>0.2576</v>
      </c>
      <c r="D37" s="53">
        <v>0.24560000000000001</v>
      </c>
      <c r="E37" s="53">
        <v>0.2336</v>
      </c>
      <c r="F37" s="53">
        <v>0.22159999999999999</v>
      </c>
    </row>
    <row r="38" spans="1:11" ht="21.75" customHeight="1" x14ac:dyDescent="0.25">
      <c r="A38" s="132">
        <v>0.15</v>
      </c>
      <c r="B38" s="136">
        <v>0.28320000000000001</v>
      </c>
      <c r="C38" s="136">
        <v>0.2712</v>
      </c>
      <c r="D38" s="137">
        <v>0.25919999999999999</v>
      </c>
      <c r="E38" s="136">
        <v>0.2472</v>
      </c>
      <c r="F38" s="136">
        <v>0.23519999999999999</v>
      </c>
    </row>
    <row r="39" spans="1:11" ht="21.75" customHeight="1" x14ac:dyDescent="0.25">
      <c r="A39" s="129">
        <v>0.2</v>
      </c>
      <c r="B39" s="53">
        <v>0.2969</v>
      </c>
      <c r="C39" s="53">
        <v>0.28489999999999999</v>
      </c>
      <c r="D39" s="53">
        <v>0.27289999999999998</v>
      </c>
      <c r="E39" s="53">
        <v>0.26090000000000002</v>
      </c>
      <c r="F39" s="53">
        <v>0.24890000000000001</v>
      </c>
    </row>
    <row r="40" spans="1:11" ht="21.75" customHeight="1" x14ac:dyDescent="0.25">
      <c r="A40" s="131">
        <v>0.25</v>
      </c>
      <c r="B40" s="67">
        <v>0.31059999999999999</v>
      </c>
      <c r="C40" s="55">
        <v>0.29859999999999998</v>
      </c>
      <c r="D40" s="55">
        <v>0.28660000000000002</v>
      </c>
      <c r="E40" s="55">
        <v>0.27460000000000001</v>
      </c>
      <c r="F40" s="55">
        <v>0.2626</v>
      </c>
    </row>
    <row r="41" spans="1:11" ht="21.75" customHeight="1" x14ac:dyDescent="0.25">
      <c r="A41" s="129">
        <v>0.3</v>
      </c>
      <c r="B41" s="67">
        <v>0.32419999999999999</v>
      </c>
      <c r="C41" s="67">
        <v>0.31219999999999998</v>
      </c>
      <c r="D41" s="67">
        <v>0.30020000000000002</v>
      </c>
      <c r="E41" s="53">
        <v>0.28820000000000001</v>
      </c>
      <c r="F41" s="53">
        <v>0.2762</v>
      </c>
    </row>
    <row r="42" spans="1:11" ht="21.75" customHeight="1" x14ac:dyDescent="0.25"/>
    <row r="43" spans="1:11" ht="21.75" customHeight="1" x14ac:dyDescent="0.25">
      <c r="A43" s="3" t="s">
        <v>399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21.75" customHeight="1" x14ac:dyDescent="0.25"/>
    <row r="45" spans="1:11" ht="21.75" customHeight="1" x14ac:dyDescent="0.25">
      <c r="A45" s="14" t="s">
        <v>400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21.75" customHeight="1" x14ac:dyDescent="0.25">
      <c r="A46" s="24" t="s">
        <v>1</v>
      </c>
      <c r="B46" s="24" t="s">
        <v>401</v>
      </c>
      <c r="C46" s="24" t="s">
        <v>2</v>
      </c>
      <c r="D46" s="24" t="s">
        <v>189</v>
      </c>
      <c r="E46" s="24" t="s">
        <v>238</v>
      </c>
    </row>
    <row r="47" spans="1:11" ht="21.75" customHeight="1" x14ac:dyDescent="0.25">
      <c r="A47" s="51" t="s">
        <v>402</v>
      </c>
      <c r="B47" s="52" t="s">
        <v>403</v>
      </c>
      <c r="C47" s="56">
        <v>800</v>
      </c>
      <c r="D47" s="52" t="s">
        <v>195</v>
      </c>
      <c r="E47" s="52" t="s">
        <v>404</v>
      </c>
    </row>
    <row r="48" spans="1:11" ht="21.75" customHeight="1" x14ac:dyDescent="0.25">
      <c r="A48" s="54" t="s">
        <v>405</v>
      </c>
      <c r="B48" s="28" t="s">
        <v>406</v>
      </c>
      <c r="C48" s="55">
        <v>0.78</v>
      </c>
      <c r="D48" s="28" t="s">
        <v>191</v>
      </c>
      <c r="E48" s="28" t="s">
        <v>407</v>
      </c>
    </row>
    <row r="49" spans="1:5" ht="21.75" customHeight="1" x14ac:dyDescent="0.25">
      <c r="A49" s="51" t="s">
        <v>408</v>
      </c>
      <c r="B49" s="52" t="s">
        <v>409</v>
      </c>
      <c r="C49" s="53">
        <v>0.22</v>
      </c>
      <c r="D49" s="52" t="s">
        <v>191</v>
      </c>
      <c r="E49" s="52" t="s">
        <v>410</v>
      </c>
    </row>
    <row r="50" spans="1:5" ht="21.75" customHeight="1" x14ac:dyDescent="0.25">
      <c r="A50" s="54" t="s">
        <v>411</v>
      </c>
      <c r="B50" s="28" t="s">
        <v>412</v>
      </c>
      <c r="C50" s="86">
        <v>3636</v>
      </c>
      <c r="D50" s="28" t="s">
        <v>195</v>
      </c>
      <c r="E50" s="28" t="s">
        <v>413</v>
      </c>
    </row>
    <row r="51" spans="1:5" ht="21.75" customHeight="1" x14ac:dyDescent="0.25">
      <c r="A51" s="51" t="s">
        <v>414</v>
      </c>
      <c r="B51" s="52" t="s">
        <v>415</v>
      </c>
      <c r="C51" s="53">
        <v>0.18179999999999999</v>
      </c>
      <c r="D51" s="52" t="s">
        <v>191</v>
      </c>
      <c r="E51" s="52" t="s">
        <v>416</v>
      </c>
    </row>
    <row r="52" spans="1:5" ht="21.75" customHeight="1" x14ac:dyDescent="0.25">
      <c r="A52" s="54" t="s">
        <v>417</v>
      </c>
      <c r="B52" s="28" t="s">
        <v>418</v>
      </c>
      <c r="C52" s="55">
        <v>0.81820000000000004</v>
      </c>
      <c r="D52" s="28" t="s">
        <v>191</v>
      </c>
      <c r="E52" s="28" t="s">
        <v>419</v>
      </c>
    </row>
    <row r="53" spans="1:5" ht="21.75" customHeight="1" x14ac:dyDescent="0.25">
      <c r="A53" s="51" t="s">
        <v>420</v>
      </c>
      <c r="B53" s="52" t="s">
        <v>421</v>
      </c>
      <c r="C53" s="53">
        <v>1.22</v>
      </c>
      <c r="D53" s="52" t="s">
        <v>197</v>
      </c>
      <c r="E53" s="52" t="s">
        <v>422</v>
      </c>
    </row>
    <row r="54" spans="1:5" ht="21.75" customHeight="1" x14ac:dyDescent="0.25"/>
    <row r="55" spans="1:5" ht="21.75" customHeight="1" x14ac:dyDescent="0.25"/>
  </sheetData>
  <mergeCells count="8">
    <mergeCell ref="A31:K31"/>
    <mergeCell ref="A43:K43"/>
    <mergeCell ref="A45:K45"/>
    <mergeCell ref="A1:K1"/>
    <mergeCell ref="A3:K3"/>
    <mergeCell ref="A15:K15"/>
    <mergeCell ref="A17:K17"/>
    <mergeCell ref="A29:K29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5"/>
  <sheetViews>
    <sheetView topLeftCell="A22" zoomScaleNormal="100" workbookViewId="0">
      <selection activeCell="C17" sqref="C17"/>
    </sheetView>
  </sheetViews>
  <sheetFormatPr defaultColWidth="8.7109375" defaultRowHeight="15" x14ac:dyDescent="0.25"/>
  <cols>
    <col min="1" max="1" width="30" customWidth="1"/>
    <col min="2" max="2" width="17.5703125" customWidth="1"/>
    <col min="3" max="7" width="16" customWidth="1"/>
    <col min="8" max="8" width="30" customWidth="1"/>
  </cols>
  <sheetData>
    <row r="1" spans="1:8" ht="21.75" customHeight="1" x14ac:dyDescent="0.25">
      <c r="A1" s="5" t="s">
        <v>423</v>
      </c>
      <c r="B1" s="5"/>
      <c r="C1" s="5"/>
      <c r="D1" s="5"/>
      <c r="E1" s="5"/>
      <c r="F1" s="5"/>
      <c r="G1" s="5"/>
      <c r="H1" s="5"/>
    </row>
    <row r="2" spans="1:8" ht="21.75" customHeight="1" x14ac:dyDescent="0.25"/>
    <row r="3" spans="1:8" ht="21.75" customHeight="1" x14ac:dyDescent="0.25">
      <c r="A3" s="14" t="s">
        <v>424</v>
      </c>
      <c r="B3" s="14"/>
      <c r="C3" s="14"/>
      <c r="D3" s="14"/>
      <c r="E3" s="14"/>
      <c r="F3" s="14"/>
      <c r="G3" s="14"/>
      <c r="H3" s="14"/>
    </row>
    <row r="4" spans="1:8" ht="30" x14ac:dyDescent="0.25">
      <c r="A4" s="127" t="s">
        <v>425</v>
      </c>
      <c r="B4" s="138" t="s">
        <v>426</v>
      </c>
      <c r="C4" s="138" t="s">
        <v>427</v>
      </c>
      <c r="D4" s="139" t="s">
        <v>428</v>
      </c>
      <c r="E4" s="139" t="s">
        <v>427</v>
      </c>
      <c r="F4" s="127" t="s">
        <v>429</v>
      </c>
      <c r="G4" s="127" t="s">
        <v>427</v>
      </c>
      <c r="H4" s="127" t="s">
        <v>238</v>
      </c>
    </row>
    <row r="5" spans="1:8" ht="21.75" customHeight="1" x14ac:dyDescent="0.25">
      <c r="A5" s="51" t="s">
        <v>430</v>
      </c>
      <c r="B5" s="129">
        <v>0.05</v>
      </c>
      <c r="C5" s="62">
        <f>B6-D6</f>
        <v>-7.0000000000000007E-2</v>
      </c>
      <c r="D5" s="129">
        <v>0.15</v>
      </c>
      <c r="E5" s="62">
        <v>0</v>
      </c>
      <c r="F5" s="129">
        <v>0.28000000000000003</v>
      </c>
      <c r="G5" s="62">
        <f>F6-D6</f>
        <v>6.9999999999999951E-2</v>
      </c>
      <c r="H5" s="129" t="s">
        <v>431</v>
      </c>
    </row>
    <row r="6" spans="1:8" ht="21.75" customHeight="1" x14ac:dyDescent="0.25">
      <c r="A6" s="54" t="s">
        <v>432</v>
      </c>
      <c r="B6" s="131">
        <v>0.33</v>
      </c>
      <c r="C6" s="140">
        <f>B7-D7</f>
        <v>0.03</v>
      </c>
      <c r="D6" s="131">
        <v>0.4</v>
      </c>
      <c r="E6" s="140">
        <v>0</v>
      </c>
      <c r="F6" s="131">
        <v>0.47</v>
      </c>
      <c r="G6" s="140">
        <f>F7-D7</f>
        <v>-0.03</v>
      </c>
      <c r="H6" s="131" t="s">
        <v>433</v>
      </c>
    </row>
    <row r="7" spans="1:8" ht="21.75" customHeight="1" x14ac:dyDescent="0.25">
      <c r="A7" s="51" t="s">
        <v>434</v>
      </c>
      <c r="B7" s="129">
        <v>0.13</v>
      </c>
      <c r="C7" s="62">
        <f>B8-D8</f>
        <v>2.0000000000000004E-2</v>
      </c>
      <c r="D7" s="129">
        <v>0.1</v>
      </c>
      <c r="E7" s="62">
        <v>0</v>
      </c>
      <c r="F7" s="129">
        <v>7.0000000000000007E-2</v>
      </c>
      <c r="G7" s="62">
        <f>F8-D8</f>
        <v>-2.0000000000000004E-2</v>
      </c>
      <c r="H7" s="129" t="s">
        <v>435</v>
      </c>
    </row>
    <row r="8" spans="1:8" ht="21.75" customHeight="1" x14ac:dyDescent="0.25">
      <c r="A8" s="54" t="s">
        <v>436</v>
      </c>
      <c r="B8" s="131">
        <v>0.1</v>
      </c>
      <c r="C8" s="140">
        <f>B9-D9</f>
        <v>-9.9999999999999978E-2</v>
      </c>
      <c r="D8" s="131">
        <v>0.08</v>
      </c>
      <c r="E8" s="140">
        <v>0</v>
      </c>
      <c r="F8" s="131">
        <v>0.06</v>
      </c>
      <c r="G8" s="140">
        <f>F9-D9</f>
        <v>9.9999999999999978E-2</v>
      </c>
      <c r="H8" s="131" t="s">
        <v>437</v>
      </c>
    </row>
    <row r="9" spans="1:8" ht="21.75" customHeight="1" x14ac:dyDescent="0.25">
      <c r="A9" s="51" t="s">
        <v>438</v>
      </c>
      <c r="B9" s="129">
        <v>0.75</v>
      </c>
      <c r="C9" s="62">
        <f>B10-D10</f>
        <v>0</v>
      </c>
      <c r="D9" s="129">
        <v>0.85</v>
      </c>
      <c r="E9" s="62">
        <v>0</v>
      </c>
      <c r="F9" s="129">
        <v>0.95</v>
      </c>
      <c r="G9" s="62">
        <f>F10-D10</f>
        <v>0</v>
      </c>
      <c r="H9" s="129" t="s">
        <v>439</v>
      </c>
    </row>
    <row r="10" spans="1:8" ht="21.75" customHeight="1" x14ac:dyDescent="0.25"/>
    <row r="11" spans="1:8" ht="21.75" customHeight="1" x14ac:dyDescent="0.25">
      <c r="A11" s="14" t="s">
        <v>440</v>
      </c>
      <c r="B11" s="14"/>
      <c r="C11" s="14"/>
      <c r="D11" s="14"/>
      <c r="E11" s="14"/>
      <c r="F11" s="14"/>
      <c r="G11" s="14"/>
      <c r="H11" s="14"/>
    </row>
    <row r="12" spans="1:8" ht="21.75" customHeight="1" x14ac:dyDescent="0.25">
      <c r="A12" s="24" t="s">
        <v>1</v>
      </c>
      <c r="B12" s="23" t="s">
        <v>140</v>
      </c>
      <c r="C12" s="23" t="s">
        <v>427</v>
      </c>
      <c r="D12" s="141" t="s">
        <v>141</v>
      </c>
      <c r="E12" s="141" t="s">
        <v>427</v>
      </c>
      <c r="F12" s="24" t="s">
        <v>142</v>
      </c>
      <c r="G12" s="24" t="s">
        <v>427</v>
      </c>
      <c r="H12" s="24" t="s">
        <v>189</v>
      </c>
    </row>
    <row r="13" spans="1:8" ht="21.75" customHeight="1" x14ac:dyDescent="0.25">
      <c r="A13" s="51" t="s">
        <v>441</v>
      </c>
      <c r="B13" s="56">
        <f>'Giả Định'!$B$18*(1+B5)</f>
        <v>21000</v>
      </c>
      <c r="C13" s="62">
        <f>IFERROR(B13/D13-1,0)</f>
        <v>-8.6956521739130488E-2</v>
      </c>
      <c r="D13" s="56">
        <f>'Giả Định'!$B$18*(1+D5)</f>
        <v>23000</v>
      </c>
      <c r="E13" s="62">
        <v>0</v>
      </c>
      <c r="F13" s="56">
        <f>'Giả Định'!$B$18*(1+F5)</f>
        <v>25600</v>
      </c>
      <c r="G13" s="62">
        <f>IFERROR(F13/D13-1,0)</f>
        <v>0.11304347826086958</v>
      </c>
      <c r="H13" s="52" t="s">
        <v>195</v>
      </c>
    </row>
    <row r="14" spans="1:8" ht="21.75" customHeight="1" x14ac:dyDescent="0.25">
      <c r="A14" s="54" t="s">
        <v>147</v>
      </c>
      <c r="B14" s="86">
        <f>B13*B6</f>
        <v>6930</v>
      </c>
      <c r="C14" s="140">
        <f>IFERROR(B14/D14-1,0)</f>
        <v>-0.24673913043478257</v>
      </c>
      <c r="D14" s="86">
        <f>D13*D6</f>
        <v>9200</v>
      </c>
      <c r="E14" s="140">
        <v>0</v>
      </c>
      <c r="F14" s="86">
        <f>F13*F6</f>
        <v>12032</v>
      </c>
      <c r="G14" s="140">
        <f>IFERROR(F14/D14-1,0)</f>
        <v>0.30782608695652169</v>
      </c>
      <c r="H14" s="28" t="s">
        <v>195</v>
      </c>
    </row>
    <row r="15" spans="1:8" ht="21.75" customHeight="1" x14ac:dyDescent="0.25">
      <c r="A15" s="51" t="s">
        <v>148</v>
      </c>
      <c r="B15" s="56">
        <f>B14-B13*B7-B13*B8</f>
        <v>2100</v>
      </c>
      <c r="C15" s="62">
        <f>IFERROR(B15/D15-1,0)</f>
        <v>-0.58498023715415015</v>
      </c>
      <c r="D15" s="56">
        <f>D14-D13*D7-D13*D8</f>
        <v>5060</v>
      </c>
      <c r="E15" s="62">
        <v>0</v>
      </c>
      <c r="F15" s="56">
        <f>F14-F13*F7-F13*F8</f>
        <v>8704</v>
      </c>
      <c r="G15" s="62">
        <f>IFERROR(F15/D15-1,0)</f>
        <v>0.72015810276679848</v>
      </c>
      <c r="H15" s="52" t="s">
        <v>195</v>
      </c>
    </row>
    <row r="16" spans="1:8" ht="21.75" customHeight="1" x14ac:dyDescent="0.25">
      <c r="A16" s="54" t="s">
        <v>190</v>
      </c>
      <c r="B16" s="55">
        <f>IFERROR(B15/B13,0)</f>
        <v>0.1</v>
      </c>
      <c r="C16" s="140">
        <f>B16-D16</f>
        <v>-0.12</v>
      </c>
      <c r="D16" s="55">
        <f>IFERROR(D15/D13,0)</f>
        <v>0.22</v>
      </c>
      <c r="E16" s="140">
        <v>0</v>
      </c>
      <c r="F16" s="55">
        <f>IFERROR(F15/F13,0)</f>
        <v>0.34</v>
      </c>
      <c r="G16" s="140">
        <f>F16-D16</f>
        <v>0.12000000000000002</v>
      </c>
      <c r="H16" s="28" t="s">
        <v>191</v>
      </c>
    </row>
    <row r="17" spans="1:8" ht="21.75" customHeight="1" x14ac:dyDescent="0.25">
      <c r="A17" s="51" t="s">
        <v>442</v>
      </c>
      <c r="B17" s="56">
        <f>MAX(B15-'Giả Định'!$B$10-'Giả Định'!$B$11,0)*(1-'Giả Định'!$B$9)</f>
        <v>1040</v>
      </c>
      <c r="C17" s="62">
        <f>IFERROR(B17/D17-1,0)</f>
        <v>-0.69483568075117375</v>
      </c>
      <c r="D17" s="56">
        <f>MAX(D15-'Giả Định'!$B$10-'Giả Định'!$B$11,0)*(1-'Giả Định'!$B$9)</f>
        <v>3408</v>
      </c>
      <c r="E17" s="62">
        <v>0</v>
      </c>
      <c r="F17" s="56">
        <f>MAX(F15-'Giả Định'!$B$10-'Giả Định'!$B$11,0)*(1-'Giả Định'!$B$9)</f>
        <v>6323.2000000000007</v>
      </c>
      <c r="G17" s="62">
        <f>IFERROR(F17/D17-1,0)</f>
        <v>0.85539906103286412</v>
      </c>
      <c r="H17" s="52" t="s">
        <v>195</v>
      </c>
    </row>
    <row r="18" spans="1:8" ht="21.75" customHeight="1" x14ac:dyDescent="0.25">
      <c r="A18" s="54" t="s">
        <v>192</v>
      </c>
      <c r="B18" s="55">
        <f>IFERROR(B17/B13,0)</f>
        <v>4.9523809523809526E-2</v>
      </c>
      <c r="C18" s="140">
        <f>B18-D18</f>
        <v>-9.8650103519668741E-2</v>
      </c>
      <c r="D18" s="55">
        <f>IFERROR(D17/D13,0)</f>
        <v>0.14817391304347827</v>
      </c>
      <c r="E18" s="140">
        <v>0</v>
      </c>
      <c r="F18" s="55">
        <f>IFERROR(F17/F13,0)</f>
        <v>0.24700000000000003</v>
      </c>
      <c r="G18" s="140">
        <f>F18-D18</f>
        <v>9.8826086956521758E-2</v>
      </c>
      <c r="H18" s="28" t="s">
        <v>191</v>
      </c>
    </row>
    <row r="19" spans="1:8" ht="21.75" customHeight="1" x14ac:dyDescent="0.25"/>
    <row r="20" spans="1:8" ht="21.75" customHeight="1" x14ac:dyDescent="0.25">
      <c r="A20" s="14" t="s">
        <v>443</v>
      </c>
      <c r="B20" s="14"/>
      <c r="C20" s="14"/>
      <c r="D20" s="14"/>
      <c r="E20" s="14"/>
      <c r="F20" s="14"/>
      <c r="G20" s="14"/>
      <c r="H20" s="14"/>
    </row>
    <row r="21" spans="1:8" ht="21.75" customHeight="1" x14ac:dyDescent="0.25">
      <c r="A21" s="142" t="s">
        <v>444</v>
      </c>
      <c r="B21" s="2" t="s">
        <v>445</v>
      </c>
      <c r="C21" s="2"/>
      <c r="D21" s="2"/>
      <c r="E21" s="2"/>
      <c r="F21" s="2"/>
      <c r="G21" s="2"/>
      <c r="H21" s="2"/>
    </row>
    <row r="22" spans="1:8" ht="21.75" customHeight="1" x14ac:dyDescent="0.25">
      <c r="A22" s="143" t="s">
        <v>446</v>
      </c>
      <c r="B22" s="1" t="s">
        <v>447</v>
      </c>
      <c r="C22" s="1"/>
      <c r="D22" s="1"/>
      <c r="E22" s="1"/>
      <c r="F22" s="1"/>
      <c r="G22" s="1"/>
      <c r="H22" s="1"/>
    </row>
    <row r="23" spans="1:8" ht="21.75" customHeight="1" x14ac:dyDescent="0.25">
      <c r="A23" s="81" t="s">
        <v>448</v>
      </c>
      <c r="B23" s="2" t="s">
        <v>449</v>
      </c>
      <c r="C23" s="2"/>
      <c r="D23" s="2"/>
      <c r="E23" s="2"/>
      <c r="F23" s="2"/>
      <c r="G23" s="2"/>
      <c r="H23" s="2"/>
    </row>
    <row r="24" spans="1:8" ht="21.75" customHeight="1" x14ac:dyDescent="0.25"/>
    <row r="25" spans="1:8" ht="21.75" customHeight="1" x14ac:dyDescent="0.25">
      <c r="A25" s="10" t="s">
        <v>450</v>
      </c>
      <c r="B25" s="10"/>
      <c r="C25" s="10"/>
      <c r="D25" s="10"/>
      <c r="E25" s="10"/>
      <c r="F25" s="10"/>
      <c r="G25" s="10"/>
      <c r="H25" s="10"/>
    </row>
    <row r="26" spans="1:8" ht="21.75" customHeight="1" x14ac:dyDescent="0.25">
      <c r="A26" s="24" t="s">
        <v>143</v>
      </c>
      <c r="B26" s="23" t="s">
        <v>140</v>
      </c>
      <c r="C26" s="141" t="s">
        <v>141</v>
      </c>
      <c r="D26" s="24" t="s">
        <v>142</v>
      </c>
      <c r="E26" s="23" t="s">
        <v>451</v>
      </c>
      <c r="F26" s="24" t="s">
        <v>452</v>
      </c>
      <c r="G26" s="25" t="s">
        <v>453</v>
      </c>
      <c r="H26" s="25" t="s">
        <v>189</v>
      </c>
    </row>
    <row r="27" spans="1:8" ht="21.75" customHeight="1" x14ac:dyDescent="0.25">
      <c r="A27" s="51" t="s">
        <v>138</v>
      </c>
      <c r="B27" s="74">
        <f>B13</f>
        <v>21000</v>
      </c>
      <c r="C27" s="130">
        <f>D13</f>
        <v>23000</v>
      </c>
      <c r="D27" s="73">
        <f>F13</f>
        <v>25600</v>
      </c>
      <c r="E27" s="107">
        <f>IFERROR(B27/C27-1,0)</f>
        <v>-8.6956521739130488E-2</v>
      </c>
      <c r="F27" s="107">
        <f>IFERROR(D27/C27-1,0)</f>
        <v>0.11304347826086958</v>
      </c>
      <c r="G27" s="52" t="s">
        <v>142</v>
      </c>
      <c r="H27" s="52" t="s">
        <v>195</v>
      </c>
    </row>
    <row r="28" spans="1:8" ht="21.75" customHeight="1" x14ac:dyDescent="0.25">
      <c r="A28" s="54" t="s">
        <v>147</v>
      </c>
      <c r="B28" s="74">
        <f>B14</f>
        <v>6930</v>
      </c>
      <c r="C28" s="130">
        <f>D14</f>
        <v>9200</v>
      </c>
      <c r="D28" s="73">
        <f>F14</f>
        <v>12032</v>
      </c>
      <c r="E28" s="144">
        <f>IFERROR(B28/C28-1,0)</f>
        <v>-0.24673913043478257</v>
      </c>
      <c r="F28" s="144">
        <f>IFERROR(D28/C28-1,0)</f>
        <v>0.30782608695652169</v>
      </c>
      <c r="G28" s="28" t="s">
        <v>142</v>
      </c>
      <c r="H28" s="28" t="s">
        <v>195</v>
      </c>
    </row>
    <row r="29" spans="1:8" ht="21.75" customHeight="1" x14ac:dyDescent="0.25">
      <c r="A29" s="51" t="s">
        <v>148</v>
      </c>
      <c r="B29" s="74">
        <f>B15</f>
        <v>2100</v>
      </c>
      <c r="C29" s="130">
        <f>D15</f>
        <v>5060</v>
      </c>
      <c r="D29" s="73">
        <f>F15</f>
        <v>8704</v>
      </c>
      <c r="E29" s="107">
        <f>IFERROR(B29/C29-1,0)</f>
        <v>-0.58498023715415015</v>
      </c>
      <c r="F29" s="107">
        <f>IFERROR(D29/C29-1,0)</f>
        <v>0.72015810276679848</v>
      </c>
      <c r="G29" s="52" t="s">
        <v>142</v>
      </c>
      <c r="H29" s="52" t="s">
        <v>195</v>
      </c>
    </row>
    <row r="30" spans="1:8" ht="21.75" customHeight="1" x14ac:dyDescent="0.25">
      <c r="A30" s="54" t="s">
        <v>139</v>
      </c>
      <c r="B30" s="74">
        <f>B17</f>
        <v>1040</v>
      </c>
      <c r="C30" s="130">
        <f>D17</f>
        <v>3408</v>
      </c>
      <c r="D30" s="73">
        <f>F17</f>
        <v>6323.2000000000007</v>
      </c>
      <c r="E30" s="144">
        <f>IFERROR(B30/C30-1,0)</f>
        <v>-0.69483568075117375</v>
      </c>
      <c r="F30" s="144">
        <f>IFERROR(D30/C30-1,0)</f>
        <v>0.85539906103286412</v>
      </c>
      <c r="G30" s="28" t="s">
        <v>142</v>
      </c>
      <c r="H30" s="28" t="s">
        <v>195</v>
      </c>
    </row>
    <row r="31" spans="1:8" ht="21.75" customHeight="1" x14ac:dyDescent="0.25">
      <c r="A31" s="51" t="s">
        <v>454</v>
      </c>
      <c r="B31" s="68">
        <f>B6</f>
        <v>0.33</v>
      </c>
      <c r="C31" s="145">
        <f>D6</f>
        <v>0.4</v>
      </c>
      <c r="D31" s="67">
        <f>F6</f>
        <v>0.47</v>
      </c>
      <c r="E31" s="62">
        <f>B31-C31</f>
        <v>-7.0000000000000007E-2</v>
      </c>
      <c r="F31" s="62">
        <f>D31-C31</f>
        <v>6.9999999999999951E-2</v>
      </c>
      <c r="G31" s="52" t="s">
        <v>142</v>
      </c>
      <c r="H31" s="52" t="s">
        <v>191</v>
      </c>
    </row>
    <row r="32" spans="1:8" ht="21.75" customHeight="1" x14ac:dyDescent="0.25">
      <c r="A32" s="54" t="s">
        <v>190</v>
      </c>
      <c r="B32" s="68">
        <f>B16</f>
        <v>0.1</v>
      </c>
      <c r="C32" s="145">
        <f>D16</f>
        <v>0.22</v>
      </c>
      <c r="D32" s="67">
        <f>F16</f>
        <v>0.34</v>
      </c>
      <c r="E32" s="140">
        <f>B32-C32</f>
        <v>-0.12</v>
      </c>
      <c r="F32" s="140">
        <f>D32-C32</f>
        <v>0.12000000000000002</v>
      </c>
      <c r="G32" s="28" t="s">
        <v>142</v>
      </c>
      <c r="H32" s="28" t="s">
        <v>191</v>
      </c>
    </row>
    <row r="33" spans="1:8" ht="21.75" customHeight="1" x14ac:dyDescent="0.25">
      <c r="A33" s="51" t="s">
        <v>192</v>
      </c>
      <c r="B33" s="68">
        <f>B18</f>
        <v>4.9523809523809526E-2</v>
      </c>
      <c r="C33" s="145">
        <f>D18</f>
        <v>0.14817391304347827</v>
      </c>
      <c r="D33" s="67">
        <f>F18</f>
        <v>0.24700000000000003</v>
      </c>
      <c r="E33" s="62">
        <f>B33-C33</f>
        <v>-9.8650103519668741E-2</v>
      </c>
      <c r="F33" s="62">
        <f>D33-C33</f>
        <v>9.8826086956521758E-2</v>
      </c>
      <c r="G33" s="52" t="s">
        <v>142</v>
      </c>
      <c r="H33" s="52" t="s">
        <v>191</v>
      </c>
    </row>
    <row r="34" spans="1:8" ht="21.75" customHeight="1" x14ac:dyDescent="0.25">
      <c r="A34" s="54" t="s">
        <v>193</v>
      </c>
      <c r="B34" s="68">
        <f>B5</f>
        <v>0.05</v>
      </c>
      <c r="C34" s="145">
        <f>D5</f>
        <v>0.15</v>
      </c>
      <c r="D34" s="67">
        <f>F5</f>
        <v>0.28000000000000003</v>
      </c>
      <c r="E34" s="140">
        <f>B34-C34</f>
        <v>-9.9999999999999992E-2</v>
      </c>
      <c r="F34" s="140">
        <f>D34-C34</f>
        <v>0.13000000000000003</v>
      </c>
      <c r="G34" s="28" t="s">
        <v>142</v>
      </c>
      <c r="H34" s="28" t="s">
        <v>191</v>
      </c>
    </row>
    <row r="35" spans="1:8" ht="21.75" customHeight="1" x14ac:dyDescent="0.25"/>
  </sheetData>
  <mergeCells count="8">
    <mergeCell ref="B22:H22"/>
    <mergeCell ref="B23:H23"/>
    <mergeCell ref="A25:H25"/>
    <mergeCell ref="A1:H1"/>
    <mergeCell ref="A3:H3"/>
    <mergeCell ref="A11:H11"/>
    <mergeCell ref="A20:H20"/>
    <mergeCell ref="B21:H21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45"/>
  <sheetViews>
    <sheetView tabSelected="1" topLeftCell="A126" zoomScaleNormal="100" workbookViewId="0">
      <selection activeCell="L152" sqref="L152"/>
    </sheetView>
  </sheetViews>
  <sheetFormatPr defaultColWidth="8.7109375" defaultRowHeight="15" x14ac:dyDescent="0.25"/>
  <cols>
    <col min="1" max="1" width="32" customWidth="1"/>
    <col min="2" max="5" width="14" customWidth="1"/>
    <col min="6" max="6" width="26.7109375" bestFit="1" customWidth="1"/>
    <col min="7" max="7" width="29.7109375" bestFit="1" customWidth="1"/>
    <col min="8" max="8" width="33.140625" bestFit="1" customWidth="1"/>
    <col min="9" max="12" width="14" customWidth="1"/>
  </cols>
  <sheetData>
    <row r="1" spans="1:12" ht="21.75" customHeight="1" x14ac:dyDescent="0.25">
      <c r="A1" s="5" t="s">
        <v>455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1.75" customHeight="1" x14ac:dyDescent="0.25"/>
    <row r="3" spans="1:12" ht="21.75" customHeight="1" x14ac:dyDescent="0.25">
      <c r="A3" s="14" t="s">
        <v>456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1.75" customHeight="1" x14ac:dyDescent="0.25">
      <c r="A4" s="24" t="s">
        <v>457</v>
      </c>
      <c r="B4" s="24" t="s">
        <v>458</v>
      </c>
      <c r="C4" s="24" t="s">
        <v>459</v>
      </c>
      <c r="D4" s="24" t="s">
        <v>460</v>
      </c>
      <c r="E4" s="24" t="s">
        <v>461</v>
      </c>
      <c r="F4" s="24" t="s">
        <v>462</v>
      </c>
      <c r="G4" s="24" t="s">
        <v>238</v>
      </c>
    </row>
    <row r="5" spans="1:12" ht="21.75" customHeight="1" x14ac:dyDescent="0.25">
      <c r="A5" s="51" t="s">
        <v>193</v>
      </c>
      <c r="B5" s="52" t="s">
        <v>463</v>
      </c>
      <c r="C5" s="52" t="s">
        <v>464</v>
      </c>
      <c r="D5" s="52" t="s">
        <v>465</v>
      </c>
      <c r="E5" s="52" t="s">
        <v>466</v>
      </c>
      <c r="F5" s="52" t="s">
        <v>467</v>
      </c>
      <c r="G5" s="52" t="s">
        <v>468</v>
      </c>
    </row>
    <row r="6" spans="1:12" ht="21.75" customHeight="1" x14ac:dyDescent="0.25">
      <c r="A6" s="54" t="s">
        <v>469</v>
      </c>
      <c r="B6" s="28" t="s">
        <v>463</v>
      </c>
      <c r="C6" s="28" t="s">
        <v>470</v>
      </c>
      <c r="D6" s="28" t="s">
        <v>471</v>
      </c>
      <c r="E6" s="28" t="s">
        <v>472</v>
      </c>
      <c r="F6" s="28" t="s">
        <v>473</v>
      </c>
      <c r="G6" s="28" t="s">
        <v>474</v>
      </c>
    </row>
    <row r="7" spans="1:12" ht="21.75" customHeight="1" x14ac:dyDescent="0.25">
      <c r="A7" s="51" t="s">
        <v>475</v>
      </c>
      <c r="B7" s="52" t="s">
        <v>463</v>
      </c>
      <c r="C7" s="52" t="s">
        <v>476</v>
      </c>
      <c r="D7" s="52" t="s">
        <v>477</v>
      </c>
      <c r="E7" s="52" t="s">
        <v>471</v>
      </c>
      <c r="F7" s="52" t="s">
        <v>470</v>
      </c>
      <c r="G7" s="52" t="s">
        <v>478</v>
      </c>
    </row>
    <row r="8" spans="1:12" ht="21.75" customHeight="1" x14ac:dyDescent="0.25">
      <c r="A8" s="54" t="s">
        <v>479</v>
      </c>
      <c r="B8" s="28" t="s">
        <v>480</v>
      </c>
      <c r="C8" s="28" t="s">
        <v>481</v>
      </c>
      <c r="D8" s="28" t="s">
        <v>353</v>
      </c>
      <c r="E8" s="28" t="s">
        <v>353</v>
      </c>
      <c r="F8" s="28" t="s">
        <v>353</v>
      </c>
      <c r="G8" s="28" t="s">
        <v>482</v>
      </c>
    </row>
    <row r="9" spans="1:12" ht="21.75" customHeight="1" x14ac:dyDescent="0.25">
      <c r="A9" s="51" t="s">
        <v>483</v>
      </c>
      <c r="B9" s="52" t="s">
        <v>480</v>
      </c>
      <c r="C9" s="52" t="s">
        <v>484</v>
      </c>
      <c r="D9" s="52" t="s">
        <v>353</v>
      </c>
      <c r="E9" s="52" t="s">
        <v>353</v>
      </c>
      <c r="F9" s="52" t="s">
        <v>353</v>
      </c>
      <c r="G9" s="52" t="s">
        <v>485</v>
      </c>
    </row>
    <row r="10" spans="1:12" ht="21.75" customHeight="1" x14ac:dyDescent="0.25">
      <c r="A10" s="54" t="s">
        <v>486</v>
      </c>
      <c r="B10" s="28" t="s">
        <v>480</v>
      </c>
      <c r="C10" s="28" t="s">
        <v>487</v>
      </c>
      <c r="D10" s="28" t="s">
        <v>353</v>
      </c>
      <c r="E10" s="28" t="s">
        <v>353</v>
      </c>
      <c r="F10" s="28" t="s">
        <v>353</v>
      </c>
      <c r="G10" s="28" t="s">
        <v>488</v>
      </c>
    </row>
    <row r="11" spans="1:12" ht="21.75" customHeight="1" x14ac:dyDescent="0.25"/>
    <row r="12" spans="1:12" ht="21.75" customHeight="1" x14ac:dyDescent="0.25">
      <c r="A12" s="14" t="s">
        <v>489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1.75" customHeight="1" x14ac:dyDescent="0.25">
      <c r="A13" s="24" t="s">
        <v>1</v>
      </c>
      <c r="B13" s="24" t="s">
        <v>19</v>
      </c>
      <c r="C13" s="24" t="s">
        <v>20</v>
      </c>
      <c r="D13" s="24" t="s">
        <v>21</v>
      </c>
      <c r="E13" s="24" t="s">
        <v>22</v>
      </c>
      <c r="F13" s="24" t="s">
        <v>23</v>
      </c>
    </row>
    <row r="14" spans="1:12" ht="21.75" customHeight="1" x14ac:dyDescent="0.25">
      <c r="A14" s="51" t="s">
        <v>490</v>
      </c>
      <c r="B14" s="56">
        <v>3472</v>
      </c>
      <c r="C14" s="56">
        <v>3990</v>
      </c>
      <c r="D14" s="56">
        <v>4714</v>
      </c>
      <c r="E14" s="56">
        <v>5451</v>
      </c>
      <c r="F14" s="56">
        <v>6472</v>
      </c>
    </row>
    <row r="15" spans="1:12" ht="21.75" customHeight="1" x14ac:dyDescent="0.25">
      <c r="A15" s="54" t="s">
        <v>491</v>
      </c>
      <c r="B15" s="86">
        <v>3441</v>
      </c>
      <c r="C15" s="86">
        <v>3969</v>
      </c>
      <c r="D15" s="86">
        <v>4660</v>
      </c>
      <c r="E15" s="86">
        <v>5310</v>
      </c>
      <c r="F15" s="86">
        <v>6234</v>
      </c>
    </row>
    <row r="16" spans="1:12" ht="21.75" customHeight="1" x14ac:dyDescent="0.25">
      <c r="A16" s="51" t="s">
        <v>492</v>
      </c>
      <c r="B16" s="56">
        <v>1097</v>
      </c>
      <c r="C16" s="56">
        <v>1339</v>
      </c>
      <c r="D16" s="56">
        <v>1657</v>
      </c>
      <c r="E16" s="56">
        <v>1907</v>
      </c>
      <c r="F16" s="56">
        <v>2341</v>
      </c>
    </row>
    <row r="17" spans="1:12" ht="21.75" customHeight="1" x14ac:dyDescent="0.25">
      <c r="A17" s="146" t="s">
        <v>493</v>
      </c>
      <c r="B17" s="74">
        <v>1659</v>
      </c>
      <c r="C17" s="74">
        <v>1788</v>
      </c>
      <c r="D17" s="74">
        <v>2111</v>
      </c>
      <c r="E17" s="74">
        <v>2499</v>
      </c>
      <c r="F17" s="74">
        <v>2950</v>
      </c>
    </row>
    <row r="18" spans="1:12" ht="21.75" customHeight="1" x14ac:dyDescent="0.25">
      <c r="A18" s="147" t="s">
        <v>494</v>
      </c>
      <c r="B18" s="133">
        <v>2780</v>
      </c>
      <c r="C18" s="133">
        <v>3155</v>
      </c>
      <c r="D18" s="133">
        <v>3584</v>
      </c>
      <c r="E18" s="133">
        <v>4202</v>
      </c>
      <c r="F18" s="133">
        <v>4875</v>
      </c>
    </row>
    <row r="19" spans="1:12" ht="21.75" customHeight="1" x14ac:dyDescent="0.25">
      <c r="A19" s="148" t="s">
        <v>495</v>
      </c>
      <c r="B19" s="149">
        <v>4170</v>
      </c>
      <c r="C19" s="149">
        <v>4851</v>
      </c>
      <c r="D19" s="149">
        <v>5732</v>
      </c>
      <c r="E19" s="149">
        <v>6626</v>
      </c>
      <c r="F19" s="149">
        <v>7897</v>
      </c>
    </row>
    <row r="20" spans="1:12" ht="21.75" customHeight="1" x14ac:dyDescent="0.25">
      <c r="A20" s="148" t="s">
        <v>496</v>
      </c>
      <c r="B20" s="149">
        <v>5284</v>
      </c>
      <c r="C20" s="149">
        <v>6141</v>
      </c>
      <c r="D20" s="149">
        <v>7684</v>
      </c>
      <c r="E20" s="149">
        <v>8707</v>
      </c>
      <c r="F20" s="149">
        <v>10403</v>
      </c>
    </row>
    <row r="21" spans="1:12" ht="21.75" customHeight="1" x14ac:dyDescent="0.25">
      <c r="A21" s="58" t="s">
        <v>497</v>
      </c>
      <c r="B21" s="59">
        <v>1659</v>
      </c>
      <c r="C21" s="59">
        <v>1788</v>
      </c>
      <c r="D21" s="59">
        <v>2111</v>
      </c>
      <c r="E21" s="59">
        <v>2499</v>
      </c>
      <c r="F21" s="59">
        <v>2950</v>
      </c>
    </row>
    <row r="22" spans="1:12" ht="21.75" customHeight="1" x14ac:dyDescent="0.25">
      <c r="A22" s="58" t="s">
        <v>498</v>
      </c>
      <c r="B22" s="59">
        <v>919</v>
      </c>
      <c r="C22" s="59">
        <v>842</v>
      </c>
      <c r="D22" s="59">
        <v>872</v>
      </c>
      <c r="E22" s="59">
        <v>1651</v>
      </c>
      <c r="F22" s="59">
        <v>1774</v>
      </c>
    </row>
    <row r="23" spans="1:12" ht="21.75" customHeight="1" x14ac:dyDescent="0.25">
      <c r="A23" s="54" t="s">
        <v>499</v>
      </c>
      <c r="B23" s="86">
        <v>0</v>
      </c>
      <c r="C23" s="86">
        <v>0</v>
      </c>
      <c r="D23" s="86">
        <v>0</v>
      </c>
      <c r="E23" s="86">
        <v>306</v>
      </c>
      <c r="F23" s="86">
        <v>788</v>
      </c>
    </row>
    <row r="24" spans="1:12" ht="21.75" customHeight="1" x14ac:dyDescent="0.25">
      <c r="A24" s="51" t="s">
        <v>500</v>
      </c>
      <c r="B24" s="56">
        <v>6841</v>
      </c>
      <c r="C24" s="56">
        <v>8242</v>
      </c>
      <c r="D24" s="56">
        <v>11229</v>
      </c>
      <c r="E24" s="56">
        <v>13219</v>
      </c>
      <c r="F24" s="56">
        <v>16060</v>
      </c>
    </row>
    <row r="25" spans="1:12" ht="21.75" customHeight="1" x14ac:dyDescent="0.25"/>
    <row r="26" spans="1:12" ht="21.75" customHeight="1" x14ac:dyDescent="0.25">
      <c r="A26" s="14" t="s">
        <v>501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21.75" customHeight="1" x14ac:dyDescent="0.25">
      <c r="A27" s="24" t="s">
        <v>211</v>
      </c>
      <c r="B27" s="24" t="s">
        <v>220</v>
      </c>
      <c r="C27" s="24" t="s">
        <v>502</v>
      </c>
      <c r="D27" s="24" t="s">
        <v>303</v>
      </c>
      <c r="E27" s="24" t="s">
        <v>284</v>
      </c>
      <c r="F27" s="24" t="s">
        <v>503</v>
      </c>
    </row>
    <row r="28" spans="1:12" ht="21.75" customHeight="1" x14ac:dyDescent="0.25">
      <c r="A28" s="85">
        <v>2024</v>
      </c>
      <c r="B28" s="73">
        <v>2500</v>
      </c>
      <c r="C28" s="84">
        <v>0.82099999999999995</v>
      </c>
      <c r="D28" s="85" t="s">
        <v>504</v>
      </c>
      <c r="E28" s="73">
        <v>3472</v>
      </c>
      <c r="F28" s="150">
        <v>0.38890000000000002</v>
      </c>
    </row>
    <row r="29" spans="1:12" ht="21.75" customHeight="1" x14ac:dyDescent="0.25">
      <c r="A29" s="85">
        <v>2025</v>
      </c>
      <c r="B29" s="73">
        <v>3000</v>
      </c>
      <c r="C29" s="84">
        <v>0.78900000000000003</v>
      </c>
      <c r="D29" s="85" t="s">
        <v>504</v>
      </c>
      <c r="E29" s="73">
        <v>3990</v>
      </c>
      <c r="F29" s="150">
        <v>0.32990000000000003</v>
      </c>
    </row>
    <row r="30" spans="1:12" ht="21.75" customHeight="1" x14ac:dyDescent="0.25">
      <c r="A30" s="85">
        <v>2026</v>
      </c>
      <c r="B30" s="73">
        <v>3500</v>
      </c>
      <c r="C30" s="84">
        <v>0.77300000000000002</v>
      </c>
      <c r="D30" s="85" t="s">
        <v>504</v>
      </c>
      <c r="E30" s="73">
        <v>4714</v>
      </c>
      <c r="F30" s="150">
        <v>0.34670000000000001</v>
      </c>
    </row>
    <row r="31" spans="1:12" ht="21.75" customHeight="1" x14ac:dyDescent="0.25">
      <c r="A31" s="85">
        <v>2027</v>
      </c>
      <c r="B31" s="73">
        <v>4000</v>
      </c>
      <c r="C31" s="84">
        <v>0.78600000000000003</v>
      </c>
      <c r="D31" s="85" t="s">
        <v>504</v>
      </c>
      <c r="E31" s="73">
        <v>5451</v>
      </c>
      <c r="F31" s="150">
        <v>0.36270000000000002</v>
      </c>
    </row>
    <row r="32" spans="1:12" ht="21.75" customHeight="1" x14ac:dyDescent="0.25">
      <c r="A32" s="85">
        <v>2028</v>
      </c>
      <c r="B32" s="73">
        <v>4500</v>
      </c>
      <c r="C32" s="84">
        <v>0.8</v>
      </c>
      <c r="D32" s="85" t="s">
        <v>504</v>
      </c>
      <c r="E32" s="73">
        <v>6472</v>
      </c>
      <c r="F32" s="150">
        <v>0.43819999999999998</v>
      </c>
    </row>
    <row r="33" spans="1:12" ht="21.75" customHeight="1" x14ac:dyDescent="0.25"/>
    <row r="34" spans="1:12" ht="21.75" customHeight="1" x14ac:dyDescent="0.25">
      <c r="A34" s="14" t="s">
        <v>505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21.75" customHeight="1" x14ac:dyDescent="0.25">
      <c r="A35" s="24" t="s">
        <v>211</v>
      </c>
      <c r="B35" s="24" t="s">
        <v>506</v>
      </c>
      <c r="C35" s="24" t="s">
        <v>507</v>
      </c>
      <c r="D35" s="24" t="s">
        <v>508</v>
      </c>
      <c r="E35" s="24" t="s">
        <v>509</v>
      </c>
      <c r="F35" s="24" t="s">
        <v>510</v>
      </c>
      <c r="G35" s="24" t="s">
        <v>511</v>
      </c>
      <c r="H35" s="24" t="s">
        <v>512</v>
      </c>
    </row>
    <row r="36" spans="1:12" ht="21.75" customHeight="1" x14ac:dyDescent="0.25">
      <c r="A36" s="85">
        <v>2024</v>
      </c>
      <c r="B36" s="84">
        <v>0.26960000000000001</v>
      </c>
      <c r="C36" s="67">
        <v>0.1288</v>
      </c>
      <c r="D36" s="67">
        <v>0.4103</v>
      </c>
      <c r="E36" s="67">
        <v>9.6600000000000005E-2</v>
      </c>
      <c r="F36" s="90">
        <v>0.17299999999999999</v>
      </c>
      <c r="G36" s="85" t="s">
        <v>513</v>
      </c>
      <c r="H36" s="84">
        <v>0.97299999999999998</v>
      </c>
    </row>
    <row r="37" spans="1:12" ht="21.75" customHeight="1" x14ac:dyDescent="0.25">
      <c r="A37" s="85">
        <v>2025</v>
      </c>
      <c r="B37" s="84">
        <v>0.30969999999999998</v>
      </c>
      <c r="C37" s="67">
        <v>0.13880000000000001</v>
      </c>
      <c r="D37" s="67">
        <v>0.4768</v>
      </c>
      <c r="E37" s="67">
        <v>9.6600000000000005E-2</v>
      </c>
      <c r="F37" s="90">
        <v>0.21310000000000001</v>
      </c>
      <c r="G37" s="85" t="s">
        <v>513</v>
      </c>
      <c r="H37" s="84">
        <v>0.98199999999999998</v>
      </c>
    </row>
    <row r="38" spans="1:12" ht="21.75" customHeight="1" x14ac:dyDescent="0.25">
      <c r="A38" s="85">
        <v>2026</v>
      </c>
      <c r="B38" s="84">
        <v>0.36599999999999999</v>
      </c>
      <c r="C38" s="67">
        <v>0.16389999999999999</v>
      </c>
      <c r="D38" s="67">
        <v>0.59660000000000002</v>
      </c>
      <c r="E38" s="67">
        <v>9.6600000000000005E-2</v>
      </c>
      <c r="F38" s="90">
        <v>0.26939999999999997</v>
      </c>
      <c r="G38" s="85" t="s">
        <v>513</v>
      </c>
      <c r="H38" s="84">
        <v>0.98599999999999999</v>
      </c>
    </row>
    <row r="39" spans="1:12" ht="21.75" customHeight="1" x14ac:dyDescent="0.25">
      <c r="A39" s="85">
        <v>2027</v>
      </c>
      <c r="B39" s="84">
        <v>0.42320000000000002</v>
      </c>
      <c r="C39" s="67">
        <v>0.19400000000000001</v>
      </c>
      <c r="D39" s="67">
        <v>0.67600000000000005</v>
      </c>
      <c r="E39" s="67">
        <v>9.6600000000000005E-2</v>
      </c>
      <c r="F39" s="90">
        <v>0.3266</v>
      </c>
      <c r="G39" s="85" t="s">
        <v>513</v>
      </c>
      <c r="H39" s="84">
        <v>0.995</v>
      </c>
    </row>
    <row r="40" spans="1:12" ht="21.75" customHeight="1" x14ac:dyDescent="0.25">
      <c r="A40" s="85">
        <v>2028</v>
      </c>
      <c r="B40" s="84">
        <v>0.50249999999999995</v>
      </c>
      <c r="C40" s="67">
        <v>0.22900000000000001</v>
      </c>
      <c r="D40" s="67">
        <v>0.80769999999999997</v>
      </c>
      <c r="E40" s="67">
        <v>9.6600000000000005E-2</v>
      </c>
      <c r="F40" s="90">
        <v>0.40589999999999998</v>
      </c>
      <c r="G40" s="85" t="s">
        <v>513</v>
      </c>
      <c r="H40" s="84">
        <v>0.997</v>
      </c>
    </row>
    <row r="41" spans="1:12" ht="21.75" customHeight="1" x14ac:dyDescent="0.25"/>
    <row r="42" spans="1:12" ht="21.75" customHeight="1" x14ac:dyDescent="0.25">
      <c r="A42" s="14" t="s">
        <v>514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21.75" customHeight="1" x14ac:dyDescent="0.25">
      <c r="A43" s="24" t="s">
        <v>515</v>
      </c>
      <c r="B43" s="24" t="s">
        <v>516</v>
      </c>
      <c r="C43" s="24" t="s">
        <v>517</v>
      </c>
    </row>
    <row r="44" spans="1:12" ht="21.75" customHeight="1" x14ac:dyDescent="0.25">
      <c r="A44" s="146" t="s">
        <v>518</v>
      </c>
      <c r="B44" s="151">
        <v>2</v>
      </c>
      <c r="C44" s="152">
        <v>2E-3</v>
      </c>
    </row>
    <row r="45" spans="1:12" ht="21.75" customHeight="1" x14ac:dyDescent="0.25">
      <c r="A45" s="146" t="s">
        <v>519</v>
      </c>
      <c r="B45" s="151">
        <v>17</v>
      </c>
      <c r="C45" s="152">
        <v>1.7000000000000001E-2</v>
      </c>
    </row>
    <row r="46" spans="1:12" ht="21.75" customHeight="1" x14ac:dyDescent="0.25">
      <c r="A46" s="146" t="s">
        <v>520</v>
      </c>
      <c r="B46" s="151">
        <v>37</v>
      </c>
      <c r="C46" s="152">
        <v>3.6999999999999998E-2</v>
      </c>
    </row>
    <row r="47" spans="1:12" ht="21.75" customHeight="1" x14ac:dyDescent="0.25">
      <c r="A47" s="146" t="s">
        <v>521</v>
      </c>
      <c r="B47" s="151">
        <v>83</v>
      </c>
      <c r="C47" s="152">
        <v>8.3000000000000004E-2</v>
      </c>
    </row>
    <row r="48" spans="1:12" ht="21.75" customHeight="1" x14ac:dyDescent="0.25">
      <c r="A48" s="146" t="s">
        <v>522</v>
      </c>
      <c r="B48" s="151">
        <v>136</v>
      </c>
      <c r="C48" s="152">
        <v>0.13600000000000001</v>
      </c>
    </row>
    <row r="49" spans="1:3" ht="21.75" customHeight="1" x14ac:dyDescent="0.25">
      <c r="A49" s="147" t="s">
        <v>523</v>
      </c>
      <c r="B49" s="133">
        <v>216</v>
      </c>
      <c r="C49" s="136">
        <v>0.216</v>
      </c>
    </row>
    <row r="50" spans="1:3" ht="21.75" customHeight="1" x14ac:dyDescent="0.25">
      <c r="A50" s="147" t="s">
        <v>524</v>
      </c>
      <c r="B50" s="133">
        <v>211</v>
      </c>
      <c r="C50" s="136">
        <v>0.21099999999999999</v>
      </c>
    </row>
    <row r="51" spans="1:3" ht="21.75" customHeight="1" x14ac:dyDescent="0.25">
      <c r="A51" s="148" t="s">
        <v>525</v>
      </c>
      <c r="B51" s="149">
        <v>139</v>
      </c>
      <c r="C51" s="153">
        <v>0.13900000000000001</v>
      </c>
    </row>
    <row r="52" spans="1:3" ht="21.75" customHeight="1" x14ac:dyDescent="0.25">
      <c r="A52" s="148" t="s">
        <v>526</v>
      </c>
      <c r="B52" s="149">
        <v>91</v>
      </c>
      <c r="C52" s="153">
        <v>9.0999999999999998E-2</v>
      </c>
    </row>
    <row r="53" spans="1:3" ht="21.75" customHeight="1" x14ac:dyDescent="0.25">
      <c r="A53" s="148" t="s">
        <v>527</v>
      </c>
      <c r="B53" s="149">
        <v>42</v>
      </c>
      <c r="C53" s="153">
        <v>4.2000000000000003E-2</v>
      </c>
    </row>
    <row r="54" spans="1:3" ht="21.75" customHeight="1" x14ac:dyDescent="0.25">
      <c r="A54" s="148" t="s">
        <v>528</v>
      </c>
      <c r="B54" s="149">
        <v>16</v>
      </c>
      <c r="C54" s="153">
        <v>1.6E-2</v>
      </c>
    </row>
    <row r="55" spans="1:3" ht="21.75" customHeight="1" x14ac:dyDescent="0.25">
      <c r="A55" s="148" t="s">
        <v>529</v>
      </c>
      <c r="B55" s="149">
        <v>10</v>
      </c>
      <c r="C55" s="153">
        <v>0.01</v>
      </c>
    </row>
    <row r="56" spans="1:3" ht="21.75" customHeight="1" x14ac:dyDescent="0.25"/>
    <row r="57" spans="1:3" ht="21.75" customHeight="1" x14ac:dyDescent="0.25"/>
    <row r="58" spans="1:3" ht="21.75" customHeight="1" x14ac:dyDescent="0.25"/>
    <row r="59" spans="1:3" ht="21.75" customHeight="1" x14ac:dyDescent="0.25"/>
    <row r="75" spans="1:12" ht="15" customHeight="1" x14ac:dyDescent="0.25">
      <c r="A75" s="12" t="s">
        <v>530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5" customHeight="1" x14ac:dyDescent="0.25">
      <c r="A76" s="11" t="s">
        <v>531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" customHeight="1" x14ac:dyDescent="0.25">
      <c r="A77" s="24" t="s">
        <v>1</v>
      </c>
      <c r="B77" s="23" t="s">
        <v>532</v>
      </c>
      <c r="C77" s="23" t="s">
        <v>533</v>
      </c>
      <c r="D77" s="23" t="s">
        <v>534</v>
      </c>
      <c r="E77" s="141" t="s">
        <v>535</v>
      </c>
      <c r="F77" s="141" t="s">
        <v>536</v>
      </c>
      <c r="G77" s="141" t="s">
        <v>537</v>
      </c>
      <c r="H77" s="24" t="s">
        <v>538</v>
      </c>
      <c r="I77" s="24" t="s">
        <v>539</v>
      </c>
      <c r="J77" s="24" t="s">
        <v>540</v>
      </c>
      <c r="K77" s="25" t="s">
        <v>189</v>
      </c>
    </row>
    <row r="78" spans="1:12" ht="15" customHeight="1" x14ac:dyDescent="0.25">
      <c r="A78" s="51" t="s">
        <v>541</v>
      </c>
      <c r="B78" s="154">
        <v>19161</v>
      </c>
      <c r="C78" s="154">
        <v>21066</v>
      </c>
      <c r="D78" s="154">
        <v>22994</v>
      </c>
      <c r="E78" s="56">
        <v>20448</v>
      </c>
      <c r="F78" s="56">
        <v>23032</v>
      </c>
      <c r="G78" s="56">
        <v>25713</v>
      </c>
      <c r="H78" s="155">
        <v>23036</v>
      </c>
      <c r="I78" s="155">
        <v>25540</v>
      </c>
      <c r="J78" s="155">
        <v>27848</v>
      </c>
      <c r="K78" s="52" t="s">
        <v>195</v>
      </c>
    </row>
    <row r="79" spans="1:12" ht="15" customHeight="1" x14ac:dyDescent="0.25">
      <c r="A79" s="54" t="s">
        <v>542</v>
      </c>
      <c r="B79" s="156">
        <v>100</v>
      </c>
      <c r="C79" s="156">
        <v>1402</v>
      </c>
      <c r="D79" s="156">
        <v>2844</v>
      </c>
      <c r="E79" s="86">
        <v>1406</v>
      </c>
      <c r="F79" s="86">
        <v>3488</v>
      </c>
      <c r="G79" s="86">
        <v>5721</v>
      </c>
      <c r="H79" s="157">
        <v>4068</v>
      </c>
      <c r="I79" s="157">
        <v>5936</v>
      </c>
      <c r="J79" s="157">
        <v>7835</v>
      </c>
      <c r="K79" s="28" t="s">
        <v>195</v>
      </c>
    </row>
    <row r="80" spans="1:12" ht="15" customHeight="1" x14ac:dyDescent="0.25">
      <c r="A80" s="51" t="s">
        <v>543</v>
      </c>
      <c r="B80" s="154">
        <v>925</v>
      </c>
      <c r="C80" s="154">
        <v>2538</v>
      </c>
      <c r="D80" s="154">
        <v>4355</v>
      </c>
      <c r="E80" s="56">
        <v>2558</v>
      </c>
      <c r="F80" s="56">
        <v>5161</v>
      </c>
      <c r="G80" s="56">
        <v>7952</v>
      </c>
      <c r="H80" s="155">
        <v>5885</v>
      </c>
      <c r="I80" s="155">
        <v>8220</v>
      </c>
      <c r="J80" s="155">
        <v>10594</v>
      </c>
      <c r="K80" s="52" t="s">
        <v>195</v>
      </c>
    </row>
    <row r="81" spans="1:12" ht="15" customHeight="1" x14ac:dyDescent="0.25">
      <c r="A81" s="54" t="s">
        <v>544</v>
      </c>
      <c r="B81" s="158">
        <v>7.7999999999999996E-3</v>
      </c>
      <c r="C81" s="158">
        <v>0.1089</v>
      </c>
      <c r="D81" s="158">
        <v>0.2208</v>
      </c>
      <c r="E81" s="55">
        <v>0.10920000000000001</v>
      </c>
      <c r="F81" s="55">
        <v>0.27079999999999999</v>
      </c>
      <c r="G81" s="55">
        <v>0.44419999999999998</v>
      </c>
      <c r="H81" s="159">
        <v>0.31580000000000003</v>
      </c>
      <c r="I81" s="159">
        <v>0.46079999999999999</v>
      </c>
      <c r="J81" s="159">
        <v>0.60829999999999995</v>
      </c>
      <c r="K81" s="28" t="s">
        <v>191</v>
      </c>
    </row>
    <row r="82" spans="1:12" ht="15" customHeight="1" x14ac:dyDescent="0.25">
      <c r="A82" s="51" t="s">
        <v>545</v>
      </c>
      <c r="B82" s="154">
        <v>68</v>
      </c>
      <c r="C82" s="154">
        <v>1444</v>
      </c>
      <c r="D82" s="154">
        <v>3004</v>
      </c>
      <c r="E82" s="56">
        <v>1594</v>
      </c>
      <c r="F82" s="56">
        <v>3983</v>
      </c>
      <c r="G82" s="56">
        <v>6493</v>
      </c>
      <c r="H82" s="155">
        <v>5189</v>
      </c>
      <c r="I82" s="155">
        <v>7703</v>
      </c>
      <c r="J82" s="155">
        <v>10418</v>
      </c>
      <c r="K82" s="52" t="s">
        <v>195</v>
      </c>
    </row>
    <row r="83" spans="1:12" ht="15" customHeight="1" x14ac:dyDescent="0.25">
      <c r="A83" s="54" t="s">
        <v>546</v>
      </c>
      <c r="B83" s="156">
        <v>0</v>
      </c>
      <c r="C83" s="156">
        <v>1588</v>
      </c>
      <c r="D83" s="156">
        <v>3329</v>
      </c>
      <c r="E83" s="86">
        <v>1895</v>
      </c>
      <c r="F83" s="86">
        <v>4720</v>
      </c>
      <c r="G83" s="86">
        <v>7835</v>
      </c>
      <c r="H83" s="157">
        <v>6778</v>
      </c>
      <c r="I83" s="157">
        <v>9977</v>
      </c>
      <c r="J83" s="157">
        <v>13456</v>
      </c>
      <c r="K83" s="28" t="s">
        <v>195</v>
      </c>
    </row>
    <row r="84" spans="1:12" ht="15" customHeight="1" x14ac:dyDescent="0.25">
      <c r="A84" s="51" t="s">
        <v>547</v>
      </c>
      <c r="B84" s="154">
        <v>166</v>
      </c>
      <c r="C84" s="154">
        <v>1742</v>
      </c>
      <c r="D84" s="154">
        <v>3581</v>
      </c>
      <c r="E84" s="56">
        <v>2551</v>
      </c>
      <c r="F84" s="56">
        <v>5622</v>
      </c>
      <c r="G84" s="56">
        <v>9144</v>
      </c>
      <c r="H84" s="155">
        <v>8408</v>
      </c>
      <c r="I84" s="155">
        <v>13006</v>
      </c>
      <c r="J84" s="155">
        <v>18111</v>
      </c>
      <c r="K84" s="52" t="s">
        <v>195</v>
      </c>
    </row>
    <row r="85" spans="1:12" ht="15" customHeight="1" x14ac:dyDescent="0.25">
      <c r="A85" s="54" t="s">
        <v>548</v>
      </c>
      <c r="B85" s="156">
        <v>260</v>
      </c>
      <c r="C85" s="156">
        <v>1958</v>
      </c>
      <c r="D85" s="156">
        <v>3814</v>
      </c>
      <c r="E85" s="86">
        <v>2524</v>
      </c>
      <c r="F85" s="86">
        <v>6369</v>
      </c>
      <c r="G85" s="86">
        <v>10915</v>
      </c>
      <c r="H85" s="157">
        <v>11119</v>
      </c>
      <c r="I85" s="157">
        <v>16955</v>
      </c>
      <c r="J85" s="157">
        <v>24413</v>
      </c>
      <c r="K85" s="28" t="s">
        <v>195</v>
      </c>
    </row>
    <row r="88" spans="1:12" ht="15" customHeight="1" x14ac:dyDescent="0.25">
      <c r="A88" s="6" t="s">
        <v>549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5" customHeight="1" x14ac:dyDescent="0.25">
      <c r="A89" s="24" t="s">
        <v>211</v>
      </c>
      <c r="B89" s="23" t="s">
        <v>550</v>
      </c>
      <c r="C89" s="141" t="s">
        <v>551</v>
      </c>
      <c r="D89" s="24" t="s">
        <v>552</v>
      </c>
      <c r="E89" s="25" t="s">
        <v>509</v>
      </c>
      <c r="F89" s="23" t="s">
        <v>553</v>
      </c>
      <c r="G89" s="141" t="s">
        <v>554</v>
      </c>
      <c r="H89" s="24" t="s">
        <v>555</v>
      </c>
      <c r="I89" s="23" t="s">
        <v>556</v>
      </c>
      <c r="J89" s="141" t="s">
        <v>557</v>
      </c>
      <c r="K89" s="24" t="s">
        <v>558</v>
      </c>
    </row>
    <row r="90" spans="1:12" ht="15" customHeight="1" x14ac:dyDescent="0.25">
      <c r="A90" s="52">
        <v>2024</v>
      </c>
      <c r="B90" s="160">
        <v>0.1089</v>
      </c>
      <c r="C90" s="66">
        <v>0.27079999999999999</v>
      </c>
      <c r="D90" s="161">
        <v>0.46079999999999999</v>
      </c>
      <c r="E90" s="83">
        <v>9.6600000000000005E-2</v>
      </c>
      <c r="F90" s="102">
        <v>1.23E-2</v>
      </c>
      <c r="G90" s="90">
        <v>0.17419999999999999</v>
      </c>
      <c r="H90" s="90">
        <v>0.36420000000000002</v>
      </c>
      <c r="J90" s="136">
        <v>0.54800000000000004</v>
      </c>
      <c r="K90" s="153">
        <v>0.96499999999999997</v>
      </c>
      <c r="L90" s="153">
        <v>1</v>
      </c>
    </row>
    <row r="91" spans="1:12" ht="15" customHeight="1" x14ac:dyDescent="0.25">
      <c r="A91" s="28">
        <v>2025</v>
      </c>
      <c r="B91" s="162">
        <v>0.11210000000000001</v>
      </c>
      <c r="C91" s="71">
        <v>0.30930000000000002</v>
      </c>
      <c r="D91" s="163">
        <v>0.59799999999999998</v>
      </c>
      <c r="E91" s="83">
        <v>9.6600000000000005E-2</v>
      </c>
      <c r="F91" s="102">
        <v>1.55E-2</v>
      </c>
      <c r="G91" s="90">
        <v>0.2127</v>
      </c>
      <c r="H91" s="90">
        <v>0.50139999999999996</v>
      </c>
      <c r="J91" s="136">
        <v>0.55100000000000005</v>
      </c>
      <c r="K91" s="153">
        <v>0.97099999999999997</v>
      </c>
      <c r="L91" s="153">
        <v>1</v>
      </c>
    </row>
    <row r="92" spans="1:12" ht="15" customHeight="1" x14ac:dyDescent="0.25">
      <c r="A92" s="52">
        <v>2026</v>
      </c>
      <c r="B92" s="160">
        <v>0.12330000000000001</v>
      </c>
      <c r="C92" s="66">
        <v>0.3664</v>
      </c>
      <c r="D92" s="161">
        <v>0.77459999999999996</v>
      </c>
      <c r="E92" s="83">
        <v>9.6600000000000005E-2</v>
      </c>
      <c r="F92" s="102">
        <v>2.6700000000000002E-2</v>
      </c>
      <c r="G92" s="90">
        <v>0.26979999999999998</v>
      </c>
      <c r="H92" s="90">
        <v>0.67800000000000005</v>
      </c>
      <c r="J92" s="136">
        <v>0.61699999999999999</v>
      </c>
      <c r="K92" s="153">
        <v>0.98499999999999999</v>
      </c>
      <c r="L92" s="153">
        <v>1</v>
      </c>
    </row>
    <row r="93" spans="1:12" ht="15" customHeight="1" x14ac:dyDescent="0.25">
      <c r="A93" s="28">
        <v>2027</v>
      </c>
      <c r="B93" s="162">
        <v>0.13519999999999999</v>
      </c>
      <c r="C93" s="71">
        <v>0.4365</v>
      </c>
      <c r="D93" s="163">
        <v>1.0098</v>
      </c>
      <c r="E93" s="83">
        <v>9.6600000000000005E-2</v>
      </c>
      <c r="F93" s="102">
        <v>3.8600000000000002E-2</v>
      </c>
      <c r="G93" s="90">
        <v>0.33989999999999998</v>
      </c>
      <c r="H93" s="90">
        <v>0.91320000000000001</v>
      </c>
      <c r="J93" s="136">
        <v>0.65600000000000003</v>
      </c>
      <c r="K93" s="153">
        <v>0.99199999999999999</v>
      </c>
      <c r="L93" s="153">
        <v>1</v>
      </c>
    </row>
    <row r="94" spans="1:12" ht="15" customHeight="1" x14ac:dyDescent="0.25">
      <c r="A94" s="52">
        <v>2028</v>
      </c>
      <c r="B94" s="160">
        <v>0.152</v>
      </c>
      <c r="C94" s="66">
        <v>0.4945</v>
      </c>
      <c r="D94" s="161">
        <v>1.3164</v>
      </c>
      <c r="E94" s="83">
        <v>9.6600000000000005E-2</v>
      </c>
      <c r="F94" s="90">
        <v>5.5399999999999998E-2</v>
      </c>
      <c r="G94" s="90">
        <v>0.39789999999999998</v>
      </c>
      <c r="H94" s="90">
        <v>1.2198</v>
      </c>
      <c r="J94" s="153">
        <v>0.72199999999999998</v>
      </c>
      <c r="K94" s="153">
        <v>0.99</v>
      </c>
      <c r="L94" s="153">
        <v>1</v>
      </c>
    </row>
    <row r="100" spans="1:12" ht="21.75" customHeight="1" x14ac:dyDescent="0.25">
      <c r="A100" s="12" t="s">
        <v>559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ht="21.75" customHeight="1" x14ac:dyDescent="0.25">
      <c r="A101" s="11" t="s">
        <v>560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21.75" customHeight="1" x14ac:dyDescent="0.25">
      <c r="A102" s="24"/>
      <c r="B102" s="24" t="s">
        <v>193</v>
      </c>
      <c r="C102" s="24" t="s">
        <v>454</v>
      </c>
      <c r="D102" s="24" t="s">
        <v>561</v>
      </c>
    </row>
    <row r="103" spans="1:12" ht="21.75" customHeight="1" x14ac:dyDescent="0.25">
      <c r="A103" s="121" t="s">
        <v>193</v>
      </c>
      <c r="B103" s="164">
        <v>1</v>
      </c>
      <c r="C103" s="165">
        <v>0.45</v>
      </c>
      <c r="D103" s="166">
        <v>-0.35</v>
      </c>
    </row>
    <row r="104" spans="1:12" ht="21.75" customHeight="1" x14ac:dyDescent="0.25">
      <c r="A104" s="121" t="s">
        <v>454</v>
      </c>
      <c r="B104" s="165">
        <v>0.45</v>
      </c>
      <c r="C104" s="164">
        <v>1</v>
      </c>
      <c r="D104" s="166">
        <v>-0.25</v>
      </c>
    </row>
    <row r="105" spans="1:12" ht="21.75" customHeight="1" x14ac:dyDescent="0.25">
      <c r="A105" s="121" t="s">
        <v>561</v>
      </c>
      <c r="B105" s="166">
        <v>-0.35</v>
      </c>
      <c r="C105" s="166">
        <v>-0.25</v>
      </c>
      <c r="D105" s="164">
        <v>1</v>
      </c>
    </row>
    <row r="106" spans="1:12" ht="21.75" customHeight="1" x14ac:dyDescent="0.25">
      <c r="A106" s="14" t="s">
        <v>562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ht="21.75" customHeight="1" x14ac:dyDescent="0.25">
      <c r="A107" s="121" t="s">
        <v>563</v>
      </c>
      <c r="B107" s="8" t="s">
        <v>564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21.75" customHeight="1" x14ac:dyDescent="0.25">
      <c r="A108" s="121" t="s">
        <v>565</v>
      </c>
      <c r="B108" s="8" t="s">
        <v>566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21.75" customHeight="1" x14ac:dyDescent="0.25">
      <c r="A109" s="121" t="s">
        <v>567</v>
      </c>
      <c r="B109" s="8" t="s">
        <v>568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21.75" customHeight="1" x14ac:dyDescent="0.25"/>
    <row r="111" spans="1:12" ht="21.75" customHeight="1" x14ac:dyDescent="0.25">
      <c r="A111" s="6" t="s">
        <v>569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21.75" customHeight="1" x14ac:dyDescent="0.25">
      <c r="A112" s="193" t="s">
        <v>570</v>
      </c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</row>
    <row r="113" spans="1:12" ht="21.75" customHeight="1" x14ac:dyDescent="0.25">
      <c r="A113" s="24" t="s">
        <v>211</v>
      </c>
      <c r="B113" s="24" t="s">
        <v>220</v>
      </c>
      <c r="C113" s="24" t="s">
        <v>571</v>
      </c>
      <c r="D113" s="24" t="s">
        <v>533</v>
      </c>
      <c r="E113" s="24" t="s">
        <v>536</v>
      </c>
      <c r="F113" s="24" t="s">
        <v>539</v>
      </c>
      <c r="G113" s="24" t="s">
        <v>572</v>
      </c>
      <c r="H113" s="24" t="s">
        <v>573</v>
      </c>
      <c r="I113" s="24" t="s">
        <v>574</v>
      </c>
    </row>
    <row r="114" spans="1:12" ht="21.75" customHeight="1" x14ac:dyDescent="0.25">
      <c r="A114" s="51">
        <v>2024</v>
      </c>
      <c r="B114" s="56">
        <v>2500</v>
      </c>
      <c r="C114" s="84">
        <v>-0.1061</v>
      </c>
      <c r="D114" s="74">
        <v>1387</v>
      </c>
      <c r="E114" s="56">
        <v>3429</v>
      </c>
      <c r="F114" s="73">
        <v>6008</v>
      </c>
      <c r="G114" s="167">
        <v>4621</v>
      </c>
      <c r="H114" s="91" t="s">
        <v>575</v>
      </c>
      <c r="I114" s="52" t="s">
        <v>576</v>
      </c>
    </row>
    <row r="115" spans="1:12" ht="21.75" customHeight="1" x14ac:dyDescent="0.25">
      <c r="A115" s="54">
        <v>2025</v>
      </c>
      <c r="B115" s="86">
        <v>3000</v>
      </c>
      <c r="C115" s="83">
        <v>3.85E-2</v>
      </c>
      <c r="D115" s="74">
        <v>1523</v>
      </c>
      <c r="E115" s="86">
        <v>3993</v>
      </c>
      <c r="F115" s="73">
        <v>7774</v>
      </c>
      <c r="G115" s="167">
        <v>6251</v>
      </c>
      <c r="H115" s="106" t="s">
        <v>577</v>
      </c>
      <c r="I115" s="28" t="s">
        <v>578</v>
      </c>
    </row>
    <row r="116" spans="1:12" ht="21.75" customHeight="1" x14ac:dyDescent="0.25">
      <c r="A116" s="51">
        <v>2026</v>
      </c>
      <c r="B116" s="56">
        <v>3500</v>
      </c>
      <c r="C116" s="82">
        <v>0.17860000000000001</v>
      </c>
      <c r="D116" s="74">
        <v>1718</v>
      </c>
      <c r="E116" s="56">
        <v>4764</v>
      </c>
      <c r="F116" s="73">
        <v>10213</v>
      </c>
      <c r="G116" s="167">
        <v>8495</v>
      </c>
      <c r="H116" s="93" t="s">
        <v>579</v>
      </c>
      <c r="I116" s="52" t="s">
        <v>580</v>
      </c>
    </row>
    <row r="117" spans="1:12" ht="21.75" customHeight="1" x14ac:dyDescent="0.25">
      <c r="A117" s="54">
        <v>2027</v>
      </c>
      <c r="B117" s="86">
        <v>4000</v>
      </c>
      <c r="C117" s="82">
        <v>0.3175</v>
      </c>
      <c r="D117" s="74">
        <v>1725</v>
      </c>
      <c r="E117" s="86">
        <v>5624</v>
      </c>
      <c r="F117" s="73">
        <v>13212</v>
      </c>
      <c r="G117" s="167">
        <v>11487</v>
      </c>
      <c r="H117" s="93" t="s">
        <v>579</v>
      </c>
      <c r="I117" s="28" t="s">
        <v>580</v>
      </c>
    </row>
    <row r="118" spans="1:12" ht="21.75" customHeight="1" x14ac:dyDescent="0.25">
      <c r="A118" s="51">
        <v>2028</v>
      </c>
      <c r="B118" s="56">
        <v>4500</v>
      </c>
      <c r="C118" s="82">
        <v>0.45529999999999998</v>
      </c>
      <c r="D118" s="74">
        <v>1865</v>
      </c>
      <c r="E118" s="56">
        <v>6401</v>
      </c>
      <c r="F118" s="73">
        <v>17038</v>
      </c>
      <c r="G118" s="167">
        <v>15173</v>
      </c>
      <c r="H118" s="93" t="s">
        <v>579</v>
      </c>
      <c r="I118" s="52" t="s">
        <v>580</v>
      </c>
    </row>
    <row r="119" spans="1:12" ht="21.75" customHeight="1" x14ac:dyDescent="0.25"/>
    <row r="120" spans="1:12" ht="21.75" customHeight="1" x14ac:dyDescent="0.25"/>
    <row r="121" spans="1:12" ht="21.75" customHeight="1" x14ac:dyDescent="0.25">
      <c r="A121" s="12" t="s">
        <v>581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21.75" customHeight="1" x14ac:dyDescent="0.25">
      <c r="A122" s="24" t="s">
        <v>211</v>
      </c>
      <c r="B122" s="23" t="s">
        <v>532</v>
      </c>
      <c r="C122" s="23" t="s">
        <v>533</v>
      </c>
      <c r="D122" s="23" t="s">
        <v>534</v>
      </c>
      <c r="E122" s="24" t="s">
        <v>538</v>
      </c>
      <c r="F122" s="24" t="s">
        <v>539</v>
      </c>
      <c r="G122" s="24" t="s">
        <v>540</v>
      </c>
      <c r="H122" s="25" t="s">
        <v>582</v>
      </c>
      <c r="I122" s="23" t="s">
        <v>550</v>
      </c>
      <c r="J122" s="24" t="s">
        <v>552</v>
      </c>
      <c r="K122" s="23" t="s">
        <v>583</v>
      </c>
      <c r="L122" s="24" t="s">
        <v>584</v>
      </c>
    </row>
    <row r="123" spans="1:12" ht="21.75" customHeight="1" x14ac:dyDescent="0.25">
      <c r="A123" s="52">
        <v>2024</v>
      </c>
      <c r="B123" s="74">
        <v>0</v>
      </c>
      <c r="C123" s="59">
        <v>1387</v>
      </c>
      <c r="D123" s="74">
        <v>3003</v>
      </c>
      <c r="E123" s="73">
        <v>3976</v>
      </c>
      <c r="F123" s="61">
        <v>6008</v>
      </c>
      <c r="G123" s="73">
        <v>8051</v>
      </c>
      <c r="H123" s="167">
        <v>4621</v>
      </c>
      <c r="I123" s="68">
        <v>0.1077</v>
      </c>
      <c r="J123" s="67">
        <v>0.46650000000000003</v>
      </c>
      <c r="K123" s="68">
        <v>0.1205</v>
      </c>
      <c r="L123" s="67">
        <v>0.99850000000000005</v>
      </c>
    </row>
    <row r="124" spans="1:12" ht="21.75" customHeight="1" x14ac:dyDescent="0.25">
      <c r="A124" s="28">
        <v>2025</v>
      </c>
      <c r="B124" s="74">
        <v>0</v>
      </c>
      <c r="C124" s="59">
        <v>1523</v>
      </c>
      <c r="D124" s="74">
        <v>3299</v>
      </c>
      <c r="E124" s="73">
        <v>5143</v>
      </c>
      <c r="F124" s="61">
        <v>7774</v>
      </c>
      <c r="G124" s="73">
        <v>10699</v>
      </c>
      <c r="H124" s="167">
        <v>6251</v>
      </c>
      <c r="I124" s="68">
        <v>0.1183</v>
      </c>
      <c r="J124" s="67">
        <v>0.60360000000000003</v>
      </c>
      <c r="K124" s="68">
        <v>8.5500000000000007E-2</v>
      </c>
      <c r="L124" s="67">
        <v>1</v>
      </c>
    </row>
    <row r="125" spans="1:12" ht="21.75" customHeight="1" x14ac:dyDescent="0.25">
      <c r="A125" s="52">
        <v>2026</v>
      </c>
      <c r="B125" s="74">
        <v>0</v>
      </c>
      <c r="C125" s="59">
        <v>1718</v>
      </c>
      <c r="D125" s="74">
        <v>3540</v>
      </c>
      <c r="E125" s="73">
        <v>6657</v>
      </c>
      <c r="F125" s="61">
        <v>10213</v>
      </c>
      <c r="G125" s="73">
        <v>14268</v>
      </c>
      <c r="H125" s="167">
        <v>8495</v>
      </c>
      <c r="I125" s="68">
        <v>0.13339999999999999</v>
      </c>
      <c r="J125" s="67">
        <v>0.79290000000000005</v>
      </c>
      <c r="K125" s="68">
        <v>5.3999999999999999E-2</v>
      </c>
      <c r="L125" s="67">
        <v>0.99950000000000006</v>
      </c>
    </row>
    <row r="126" spans="1:12" ht="21.75" customHeight="1" x14ac:dyDescent="0.25">
      <c r="A126" s="28">
        <v>2027</v>
      </c>
      <c r="B126" s="74">
        <v>0</v>
      </c>
      <c r="C126" s="59">
        <v>1725</v>
      </c>
      <c r="D126" s="74">
        <v>3687</v>
      </c>
      <c r="E126" s="73">
        <v>8219</v>
      </c>
      <c r="F126" s="61">
        <v>13212</v>
      </c>
      <c r="G126" s="73">
        <v>19195</v>
      </c>
      <c r="H126" s="167">
        <v>11487</v>
      </c>
      <c r="I126" s="68">
        <v>0.13389999999999999</v>
      </c>
      <c r="J126" s="67">
        <v>1.0258</v>
      </c>
      <c r="K126" s="68">
        <v>3.15E-2</v>
      </c>
      <c r="L126" s="67">
        <v>1</v>
      </c>
    </row>
    <row r="127" spans="1:12" ht="21.75" customHeight="1" x14ac:dyDescent="0.25">
      <c r="A127" s="52">
        <v>2028</v>
      </c>
      <c r="B127" s="74">
        <v>9</v>
      </c>
      <c r="C127" s="59">
        <v>1865</v>
      </c>
      <c r="D127" s="74">
        <v>4038</v>
      </c>
      <c r="E127" s="73">
        <v>10663</v>
      </c>
      <c r="F127" s="61">
        <v>17038</v>
      </c>
      <c r="G127" s="73">
        <v>24607</v>
      </c>
      <c r="H127" s="167">
        <v>15173</v>
      </c>
      <c r="I127" s="68">
        <v>0.14480000000000001</v>
      </c>
      <c r="J127" s="67">
        <v>1.3228</v>
      </c>
      <c r="K127" s="68">
        <v>2.2499999999999999E-2</v>
      </c>
      <c r="L127" s="67">
        <v>1</v>
      </c>
    </row>
    <row r="128" spans="1:12" ht="21.75" customHeight="1" x14ac:dyDescent="0.25"/>
    <row r="129" ht="21.75" customHeight="1" x14ac:dyDescent="0.25"/>
    <row r="130" ht="21.75" customHeight="1" x14ac:dyDescent="0.25"/>
    <row r="160" spans="1:12" ht="21.75" customHeight="1" x14ac:dyDescent="0.25">
      <c r="A160" s="12" t="s">
        <v>585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ht="21.75" customHeight="1" x14ac:dyDescent="0.25">
      <c r="A161" s="11" t="s">
        <v>586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ht="21.75" customHeight="1" x14ac:dyDescent="0.25">
      <c r="A162" s="194" t="s">
        <v>587</v>
      </c>
      <c r="B162" s="194"/>
      <c r="C162" s="194"/>
      <c r="D162" s="194"/>
      <c r="E162" s="194"/>
      <c r="F162" s="194"/>
      <c r="G162" s="194"/>
      <c r="H162" s="194"/>
      <c r="I162" s="194"/>
      <c r="J162" s="194"/>
      <c r="K162" s="194"/>
      <c r="L162" s="194"/>
    </row>
    <row r="163" spans="1:12" ht="21.75" customHeight="1" x14ac:dyDescent="0.25">
      <c r="A163" s="11" t="s">
        <v>588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 ht="21.75" customHeight="1" x14ac:dyDescent="0.25">
      <c r="A164" s="194" t="s">
        <v>589</v>
      </c>
      <c r="B164" s="194"/>
      <c r="C164" s="194"/>
      <c r="D164" s="194"/>
      <c r="E164" s="194"/>
      <c r="F164" s="194"/>
      <c r="G164" s="194"/>
      <c r="H164" s="194"/>
      <c r="I164" s="194"/>
      <c r="J164" s="194"/>
      <c r="K164" s="194"/>
      <c r="L164" s="194"/>
    </row>
    <row r="165" spans="1:12" ht="21.75" customHeight="1" x14ac:dyDescent="0.25">
      <c r="A165" s="11" t="s">
        <v>590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 ht="21.75" customHeight="1" x14ac:dyDescent="0.25"/>
    <row r="167" spans="1:12" ht="21.75" customHeight="1" x14ac:dyDescent="0.25">
      <c r="A167" s="24" t="s">
        <v>236</v>
      </c>
      <c r="B167" s="24" t="s">
        <v>591</v>
      </c>
      <c r="C167" s="24" t="s">
        <v>592</v>
      </c>
      <c r="D167" s="24" t="s">
        <v>593</v>
      </c>
      <c r="E167" s="24" t="s">
        <v>594</v>
      </c>
      <c r="F167" s="24" t="s">
        <v>595</v>
      </c>
      <c r="G167" s="24" t="s">
        <v>509</v>
      </c>
      <c r="H167" s="24" t="s">
        <v>596</v>
      </c>
      <c r="I167" s="24" t="s">
        <v>597</v>
      </c>
      <c r="J167" s="24" t="s">
        <v>303</v>
      </c>
    </row>
    <row r="168" spans="1:12" ht="21.75" customHeight="1" x14ac:dyDescent="0.25">
      <c r="A168" s="77">
        <v>0</v>
      </c>
      <c r="B168" s="168">
        <v>0.85</v>
      </c>
      <c r="C168" s="68">
        <v>0.1203</v>
      </c>
      <c r="D168" s="68">
        <v>0.06</v>
      </c>
      <c r="E168" s="68">
        <v>0</v>
      </c>
      <c r="F168" s="68">
        <v>1</v>
      </c>
      <c r="G168" s="68">
        <v>0.1203</v>
      </c>
      <c r="H168" s="169">
        <v>9.1000000000000004E-3</v>
      </c>
      <c r="I168" s="169">
        <v>1.03E-2</v>
      </c>
      <c r="J168" s="117" t="s">
        <v>598</v>
      </c>
    </row>
    <row r="169" spans="1:12" ht="21.75" customHeight="1" x14ac:dyDescent="0.25">
      <c r="A169" s="77">
        <v>0.25</v>
      </c>
      <c r="B169" s="168">
        <v>1.02</v>
      </c>
      <c r="C169" s="68">
        <v>0.1313</v>
      </c>
      <c r="D169" s="68">
        <v>0.06</v>
      </c>
      <c r="E169" s="68">
        <v>0.2</v>
      </c>
      <c r="F169" s="68">
        <v>0.8</v>
      </c>
      <c r="G169" s="68">
        <v>0.11459999999999999</v>
      </c>
      <c r="H169" s="169">
        <v>3.5000000000000001E-3</v>
      </c>
      <c r="I169" s="169">
        <v>4.7000000000000002E-3</v>
      </c>
      <c r="J169" s="117" t="s">
        <v>598</v>
      </c>
    </row>
    <row r="170" spans="1:12" ht="21.75" customHeight="1" x14ac:dyDescent="0.25">
      <c r="A170" s="170">
        <v>0.5</v>
      </c>
      <c r="B170" s="171">
        <v>1.19</v>
      </c>
      <c r="C170" s="83">
        <v>0.1424</v>
      </c>
      <c r="D170" s="83">
        <v>0.06</v>
      </c>
      <c r="E170" s="83">
        <v>0.33329999999999999</v>
      </c>
      <c r="F170" s="83">
        <v>0.66669999999999996</v>
      </c>
      <c r="G170" s="83">
        <v>0.1109</v>
      </c>
      <c r="H170" s="102">
        <v>-2.0000000000000001E-4</v>
      </c>
      <c r="I170" s="102">
        <v>1E-3</v>
      </c>
      <c r="J170" s="106" t="s">
        <v>599</v>
      </c>
    </row>
    <row r="171" spans="1:12" ht="21.75" customHeight="1" x14ac:dyDescent="0.25">
      <c r="A171" s="172">
        <v>0.75</v>
      </c>
      <c r="B171" s="173">
        <v>1.36</v>
      </c>
      <c r="C171" s="84">
        <v>0.15340000000000001</v>
      </c>
      <c r="D171" s="84">
        <v>6.5000000000000002E-2</v>
      </c>
      <c r="E171" s="84">
        <v>0.42859999999999998</v>
      </c>
      <c r="F171" s="84">
        <v>0.57140000000000002</v>
      </c>
      <c r="G171" s="84">
        <v>0.1099</v>
      </c>
      <c r="H171" s="90">
        <v>-1.1999999999999999E-3</v>
      </c>
      <c r="I171" s="90">
        <v>0</v>
      </c>
      <c r="J171" s="91" t="s">
        <v>600</v>
      </c>
    </row>
    <row r="172" spans="1:12" ht="21.75" customHeight="1" x14ac:dyDescent="0.25">
      <c r="A172" s="174">
        <v>1</v>
      </c>
      <c r="B172" s="175">
        <v>1.53</v>
      </c>
      <c r="C172" s="176">
        <v>0.16450000000000001</v>
      </c>
      <c r="D172" s="176">
        <v>7.0000000000000007E-2</v>
      </c>
      <c r="E172" s="176">
        <v>0.5</v>
      </c>
      <c r="F172" s="176">
        <v>0.5</v>
      </c>
      <c r="G172" s="176">
        <v>0.11020000000000001</v>
      </c>
      <c r="H172" s="177">
        <v>-8.9999999999999998E-4</v>
      </c>
      <c r="I172" s="177">
        <v>2.9999999999999997E-4</v>
      </c>
      <c r="J172" s="178" t="s">
        <v>601</v>
      </c>
    </row>
    <row r="173" spans="1:12" ht="21.75" customHeight="1" x14ac:dyDescent="0.25">
      <c r="A173" s="77">
        <v>1.5</v>
      </c>
      <c r="B173" s="168">
        <v>1.87</v>
      </c>
      <c r="C173" s="68">
        <v>0.1865</v>
      </c>
      <c r="D173" s="68">
        <v>0.08</v>
      </c>
      <c r="E173" s="68">
        <v>0.6</v>
      </c>
      <c r="F173" s="68">
        <v>0.4</v>
      </c>
      <c r="G173" s="68">
        <v>0.113</v>
      </c>
      <c r="H173" s="169">
        <v>1.9E-3</v>
      </c>
      <c r="I173" s="169">
        <v>3.0999999999999999E-3</v>
      </c>
      <c r="J173" s="117" t="s">
        <v>598</v>
      </c>
    </row>
    <row r="174" spans="1:12" ht="21.75" customHeight="1" x14ac:dyDescent="0.25">
      <c r="A174" s="77">
        <v>2</v>
      </c>
      <c r="B174" s="168">
        <v>2.21</v>
      </c>
      <c r="C174" s="68">
        <v>0.20860000000000001</v>
      </c>
      <c r="D174" s="68">
        <v>0.09</v>
      </c>
      <c r="E174" s="68">
        <v>0.66669999999999996</v>
      </c>
      <c r="F174" s="68">
        <v>0.33329999999999999</v>
      </c>
      <c r="G174" s="68">
        <v>0.11749999999999999</v>
      </c>
      <c r="H174" s="169">
        <v>6.4000000000000003E-3</v>
      </c>
      <c r="I174" s="169">
        <v>7.6E-3</v>
      </c>
      <c r="J174" s="117" t="s">
        <v>598</v>
      </c>
    </row>
    <row r="175" spans="1:12" ht="21.75" customHeight="1" x14ac:dyDescent="0.25"/>
    <row r="176" spans="1:12" ht="21.75" customHeight="1" x14ac:dyDescent="0.25"/>
    <row r="177" ht="21.75" customHeight="1" x14ac:dyDescent="0.25"/>
    <row r="178" ht="21.75" customHeight="1" x14ac:dyDescent="0.25"/>
    <row r="179" ht="21.75" customHeight="1" x14ac:dyDescent="0.25"/>
    <row r="180" ht="21.75" customHeight="1" x14ac:dyDescent="0.25"/>
    <row r="181" ht="21.75" customHeight="1" x14ac:dyDescent="0.25"/>
    <row r="182" ht="21.75" customHeight="1" x14ac:dyDescent="0.25"/>
    <row r="183" ht="21.75" customHeight="1" x14ac:dyDescent="0.25"/>
    <row r="184" ht="21.75" customHeight="1" x14ac:dyDescent="0.25"/>
    <row r="185" ht="21.75" customHeight="1" x14ac:dyDescent="0.25"/>
    <row r="186" ht="21.75" customHeight="1" x14ac:dyDescent="0.25"/>
    <row r="187" ht="21.75" customHeight="1" x14ac:dyDescent="0.25"/>
    <row r="188" ht="21.75" customHeight="1" x14ac:dyDescent="0.25"/>
    <row r="189" ht="21.75" customHeight="1" x14ac:dyDescent="0.25"/>
    <row r="190" ht="21.75" customHeight="1" x14ac:dyDescent="0.25"/>
    <row r="191" ht="21.75" customHeight="1" x14ac:dyDescent="0.25"/>
    <row r="192" ht="21.75" customHeight="1" x14ac:dyDescent="0.25"/>
    <row r="193" spans="1:12" ht="21.75" customHeight="1" x14ac:dyDescent="0.25">
      <c r="A193" s="6" t="s">
        <v>602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21.75" customHeight="1" x14ac:dyDescent="0.25">
      <c r="A194" s="11" t="s">
        <v>603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ht="21.75" customHeight="1" x14ac:dyDescent="0.25">
      <c r="A195" s="24" t="s">
        <v>211</v>
      </c>
      <c r="B195" s="24" t="s">
        <v>137</v>
      </c>
      <c r="C195" s="24" t="s">
        <v>459</v>
      </c>
      <c r="D195" s="24" t="s">
        <v>460</v>
      </c>
      <c r="E195" s="24" t="s">
        <v>604</v>
      </c>
      <c r="F195" s="24" t="s">
        <v>605</v>
      </c>
      <c r="G195" s="24" t="s">
        <v>606</v>
      </c>
      <c r="H195" s="24" t="s">
        <v>607</v>
      </c>
      <c r="I195" s="24" t="s">
        <v>608</v>
      </c>
      <c r="J195" s="24" t="s">
        <v>609</v>
      </c>
      <c r="K195" s="24" t="s">
        <v>610</v>
      </c>
    </row>
    <row r="196" spans="1:12" ht="21.75" customHeight="1" x14ac:dyDescent="0.25">
      <c r="A196" s="43">
        <v>2024</v>
      </c>
      <c r="B196" s="117" t="s">
        <v>144</v>
      </c>
      <c r="C196" s="59">
        <v>1387</v>
      </c>
      <c r="D196" s="59">
        <v>886</v>
      </c>
      <c r="E196" s="82">
        <v>0.63900000000000001</v>
      </c>
      <c r="F196" s="74">
        <v>0</v>
      </c>
      <c r="G196" s="74">
        <v>730</v>
      </c>
      <c r="H196" s="74">
        <v>1959</v>
      </c>
      <c r="I196" s="74">
        <v>3003</v>
      </c>
      <c r="J196" s="168">
        <v>0.48799999999999999</v>
      </c>
      <c r="K196" s="82">
        <v>0.1205</v>
      </c>
    </row>
    <row r="197" spans="1:12" ht="21.75" customHeight="1" x14ac:dyDescent="0.25">
      <c r="A197" s="45"/>
      <c r="B197" s="87" t="s">
        <v>145</v>
      </c>
      <c r="C197" s="101">
        <v>3429</v>
      </c>
      <c r="D197" s="101">
        <v>1375</v>
      </c>
      <c r="E197" s="83">
        <v>0.40110000000000001</v>
      </c>
      <c r="F197" s="130">
        <v>1211</v>
      </c>
      <c r="G197" s="130">
        <v>2488</v>
      </c>
      <c r="H197" s="130">
        <v>4325</v>
      </c>
      <c r="I197" s="130">
        <v>5705</v>
      </c>
      <c r="J197" s="179">
        <v>0.22900000000000001</v>
      </c>
      <c r="K197" s="83">
        <v>0.74550000000000005</v>
      </c>
    </row>
    <row r="198" spans="1:12" ht="21.75" customHeight="1" x14ac:dyDescent="0.25">
      <c r="A198" s="47"/>
      <c r="B198" s="85" t="s">
        <v>146</v>
      </c>
      <c r="C198" s="61">
        <v>6008</v>
      </c>
      <c r="D198" s="61">
        <v>1253</v>
      </c>
      <c r="E198" s="84">
        <v>0.20849999999999999</v>
      </c>
      <c r="F198" s="73">
        <v>3976</v>
      </c>
      <c r="G198" s="73">
        <v>5130</v>
      </c>
      <c r="H198" s="73">
        <v>6861</v>
      </c>
      <c r="I198" s="73">
        <v>8051</v>
      </c>
      <c r="J198" s="180">
        <v>0.16900000000000001</v>
      </c>
      <c r="K198" s="84">
        <v>0.99850000000000005</v>
      </c>
    </row>
    <row r="199" spans="1:12" ht="21.75" customHeight="1" x14ac:dyDescent="0.25">
      <c r="A199" s="43">
        <v>2025</v>
      </c>
      <c r="B199" s="117" t="s">
        <v>144</v>
      </c>
      <c r="C199" s="59">
        <v>1523</v>
      </c>
      <c r="D199" s="59">
        <v>994</v>
      </c>
      <c r="E199" s="82">
        <v>0.65249999999999997</v>
      </c>
      <c r="F199" s="74">
        <v>0</v>
      </c>
      <c r="G199" s="74">
        <v>788</v>
      </c>
      <c r="H199" s="74">
        <v>2144</v>
      </c>
      <c r="I199" s="74">
        <v>3299</v>
      </c>
      <c r="J199" s="168">
        <v>0.46700000000000003</v>
      </c>
      <c r="K199" s="82">
        <v>8.5500000000000007E-2</v>
      </c>
    </row>
    <row r="200" spans="1:12" ht="21.75" customHeight="1" x14ac:dyDescent="0.25">
      <c r="A200" s="45"/>
      <c r="B200" s="87" t="s">
        <v>145</v>
      </c>
      <c r="C200" s="101">
        <v>3993</v>
      </c>
      <c r="D200" s="101">
        <v>1569</v>
      </c>
      <c r="E200" s="83">
        <v>0.39300000000000002</v>
      </c>
      <c r="F200" s="130">
        <v>1571</v>
      </c>
      <c r="G200" s="130">
        <v>2897</v>
      </c>
      <c r="H200" s="130">
        <v>5011</v>
      </c>
      <c r="I200" s="130">
        <v>6616</v>
      </c>
      <c r="J200" s="179">
        <v>0.29199999999999998</v>
      </c>
      <c r="K200" s="83">
        <v>0.73399999999999999</v>
      </c>
    </row>
    <row r="201" spans="1:12" ht="21.75" customHeight="1" x14ac:dyDescent="0.25">
      <c r="A201" s="47"/>
      <c r="B201" s="85" t="s">
        <v>146</v>
      </c>
      <c r="C201" s="61">
        <v>7774</v>
      </c>
      <c r="D201" s="61">
        <v>1668</v>
      </c>
      <c r="E201" s="84">
        <v>0.2145</v>
      </c>
      <c r="F201" s="73">
        <v>5143</v>
      </c>
      <c r="G201" s="73">
        <v>6631</v>
      </c>
      <c r="H201" s="73">
        <v>8828</v>
      </c>
      <c r="I201" s="73">
        <v>10699</v>
      </c>
      <c r="J201" s="180">
        <v>0.28499999999999998</v>
      </c>
      <c r="K201" s="84">
        <v>1</v>
      </c>
    </row>
    <row r="202" spans="1:12" ht="21.75" customHeight="1" x14ac:dyDescent="0.25">
      <c r="A202" s="43">
        <v>2026</v>
      </c>
      <c r="B202" s="117" t="s">
        <v>144</v>
      </c>
      <c r="C202" s="59">
        <v>1718</v>
      </c>
      <c r="D202" s="59">
        <v>1070</v>
      </c>
      <c r="E202" s="82">
        <v>0.62280000000000002</v>
      </c>
      <c r="F202" s="74">
        <v>0</v>
      </c>
      <c r="G202" s="74">
        <v>917</v>
      </c>
      <c r="H202" s="74">
        <v>2429</v>
      </c>
      <c r="I202" s="74">
        <v>3540</v>
      </c>
      <c r="J202" s="168">
        <v>0.50900000000000001</v>
      </c>
      <c r="K202" s="82">
        <v>5.3999999999999999E-2</v>
      </c>
    </row>
    <row r="203" spans="1:12" ht="21.75" customHeight="1" x14ac:dyDescent="0.25">
      <c r="A203" s="45"/>
      <c r="B203" s="87" t="s">
        <v>145</v>
      </c>
      <c r="C203" s="101">
        <v>4764</v>
      </c>
      <c r="D203" s="101">
        <v>1933</v>
      </c>
      <c r="E203" s="83">
        <v>0.40589999999999998</v>
      </c>
      <c r="F203" s="130">
        <v>1834</v>
      </c>
      <c r="G203" s="130">
        <v>3376</v>
      </c>
      <c r="H203" s="130">
        <v>6003</v>
      </c>
      <c r="I203" s="130">
        <v>8146</v>
      </c>
      <c r="J203" s="179">
        <v>0.39</v>
      </c>
      <c r="K203" s="83">
        <v>0.72299999999999998</v>
      </c>
    </row>
    <row r="204" spans="1:12" ht="21.75" customHeight="1" x14ac:dyDescent="0.25">
      <c r="A204" s="47"/>
      <c r="B204" s="85" t="s">
        <v>146</v>
      </c>
      <c r="C204" s="61">
        <v>10213</v>
      </c>
      <c r="D204" s="61">
        <v>2372</v>
      </c>
      <c r="E204" s="84">
        <v>0.23219999999999999</v>
      </c>
      <c r="F204" s="73">
        <v>6657</v>
      </c>
      <c r="G204" s="73">
        <v>8526</v>
      </c>
      <c r="H204" s="73">
        <v>11794</v>
      </c>
      <c r="I204" s="73">
        <v>14268</v>
      </c>
      <c r="J204" s="180">
        <v>0.34200000000000003</v>
      </c>
      <c r="K204" s="84">
        <v>0.99950000000000006</v>
      </c>
    </row>
    <row r="205" spans="1:12" ht="21.75" customHeight="1" x14ac:dyDescent="0.25">
      <c r="A205" s="43">
        <v>2027</v>
      </c>
      <c r="B205" s="117" t="s">
        <v>144</v>
      </c>
      <c r="C205" s="59">
        <v>1725</v>
      </c>
      <c r="D205" s="59">
        <v>1115</v>
      </c>
      <c r="E205" s="82">
        <v>0.64639999999999997</v>
      </c>
      <c r="F205" s="74">
        <v>0</v>
      </c>
      <c r="G205" s="74">
        <v>920</v>
      </c>
      <c r="H205" s="74">
        <v>2471</v>
      </c>
      <c r="I205" s="74">
        <v>3687</v>
      </c>
      <c r="J205" s="168">
        <v>0.50700000000000001</v>
      </c>
      <c r="K205" s="82">
        <v>3.15E-2</v>
      </c>
    </row>
    <row r="206" spans="1:12" ht="21.75" customHeight="1" x14ac:dyDescent="0.25">
      <c r="A206" s="45"/>
      <c r="B206" s="87" t="s">
        <v>145</v>
      </c>
      <c r="C206" s="101">
        <v>5624</v>
      </c>
      <c r="D206" s="101">
        <v>2309</v>
      </c>
      <c r="E206" s="83">
        <v>0.41060000000000002</v>
      </c>
      <c r="F206" s="130">
        <v>2130</v>
      </c>
      <c r="G206" s="130">
        <v>4045</v>
      </c>
      <c r="H206" s="130">
        <v>6970</v>
      </c>
      <c r="I206" s="130">
        <v>9704</v>
      </c>
      <c r="J206" s="179">
        <v>0.47699999999999998</v>
      </c>
      <c r="K206" s="83">
        <v>0.75649999999999995</v>
      </c>
    </row>
    <row r="207" spans="1:12" ht="21.75" customHeight="1" x14ac:dyDescent="0.25">
      <c r="A207" s="47"/>
      <c r="B207" s="85" t="s">
        <v>146</v>
      </c>
      <c r="C207" s="61">
        <v>13212</v>
      </c>
      <c r="D207" s="61">
        <v>3256</v>
      </c>
      <c r="E207" s="84">
        <v>0.24640000000000001</v>
      </c>
      <c r="F207" s="73">
        <v>8219</v>
      </c>
      <c r="G207" s="73">
        <v>10934</v>
      </c>
      <c r="H207" s="73">
        <v>15107</v>
      </c>
      <c r="I207" s="73">
        <v>19195</v>
      </c>
      <c r="J207" s="180">
        <v>0.46</v>
      </c>
      <c r="K207" s="84">
        <v>1</v>
      </c>
    </row>
    <row r="208" spans="1:12" ht="21.75" customHeight="1" x14ac:dyDescent="0.25">
      <c r="A208" s="43">
        <v>2028</v>
      </c>
      <c r="B208" s="117" t="s">
        <v>144</v>
      </c>
      <c r="C208" s="59">
        <v>1865</v>
      </c>
      <c r="D208" s="59">
        <v>1175</v>
      </c>
      <c r="E208" s="82">
        <v>0.63019999999999998</v>
      </c>
      <c r="F208" s="74">
        <v>9</v>
      </c>
      <c r="G208" s="74">
        <v>1020</v>
      </c>
      <c r="H208" s="74">
        <v>2534</v>
      </c>
      <c r="I208" s="74">
        <v>4038</v>
      </c>
      <c r="J208" s="168">
        <v>0.61399999999999999</v>
      </c>
      <c r="K208" s="82">
        <v>2.2499999999999999E-2</v>
      </c>
    </row>
    <row r="209" spans="1:12" ht="21.75" customHeight="1" x14ac:dyDescent="0.25">
      <c r="A209" s="45"/>
      <c r="B209" s="87" t="s">
        <v>145</v>
      </c>
      <c r="C209" s="101">
        <v>6401</v>
      </c>
      <c r="D209" s="101">
        <v>2814</v>
      </c>
      <c r="E209" s="83">
        <v>0.43969999999999998</v>
      </c>
      <c r="F209" s="130">
        <v>2241</v>
      </c>
      <c r="G209" s="130">
        <v>4455</v>
      </c>
      <c r="H209" s="130">
        <v>8131</v>
      </c>
      <c r="I209" s="130">
        <v>11438</v>
      </c>
      <c r="J209" s="179">
        <v>0.621</v>
      </c>
      <c r="K209" s="83">
        <v>0.747</v>
      </c>
    </row>
    <row r="210" spans="1:12" ht="21.75" customHeight="1" x14ac:dyDescent="0.25">
      <c r="A210" s="47"/>
      <c r="B210" s="85" t="s">
        <v>146</v>
      </c>
      <c r="C210" s="61">
        <v>17038</v>
      </c>
      <c r="D210" s="61">
        <v>4292</v>
      </c>
      <c r="E210" s="84">
        <v>0.25190000000000001</v>
      </c>
      <c r="F210" s="73">
        <v>10663</v>
      </c>
      <c r="G210" s="73">
        <v>13937</v>
      </c>
      <c r="H210" s="73">
        <v>19659</v>
      </c>
      <c r="I210" s="73">
        <v>24607</v>
      </c>
      <c r="J210" s="180">
        <v>0.55100000000000005</v>
      </c>
      <c r="K210" s="84">
        <v>1</v>
      </c>
    </row>
    <row r="211" spans="1:12" ht="21.75" customHeight="1" x14ac:dyDescent="0.25"/>
    <row r="212" spans="1:12" ht="21.75" customHeight="1" x14ac:dyDescent="0.25"/>
    <row r="213" spans="1:12" ht="21.75" customHeight="1" x14ac:dyDescent="0.25">
      <c r="A213" t="s">
        <v>211</v>
      </c>
      <c r="B213" t="s">
        <v>611</v>
      </c>
      <c r="C213" t="s">
        <v>612</v>
      </c>
      <c r="D213" t="s">
        <v>613</v>
      </c>
      <c r="E213" t="s">
        <v>614</v>
      </c>
      <c r="F213" t="s">
        <v>615</v>
      </c>
      <c r="G213" t="s">
        <v>616</v>
      </c>
    </row>
    <row r="214" spans="1:12" ht="21.75" customHeight="1" x14ac:dyDescent="0.25">
      <c r="A214">
        <v>2024</v>
      </c>
      <c r="B214">
        <v>886</v>
      </c>
      <c r="C214">
        <v>1375</v>
      </c>
      <c r="D214">
        <v>1253</v>
      </c>
      <c r="E214">
        <v>0.63900000000000001</v>
      </c>
      <c r="F214">
        <v>0.40110000000000001</v>
      </c>
      <c r="G214">
        <v>0.20849999999999999</v>
      </c>
    </row>
    <row r="215" spans="1:12" ht="21.75" customHeight="1" x14ac:dyDescent="0.25">
      <c r="A215">
        <v>2025</v>
      </c>
      <c r="B215">
        <v>994</v>
      </c>
      <c r="C215">
        <v>1569</v>
      </c>
      <c r="D215">
        <v>1668</v>
      </c>
      <c r="E215">
        <v>0.65249999999999997</v>
      </c>
      <c r="F215">
        <v>0.39300000000000002</v>
      </c>
      <c r="G215">
        <v>0.2145</v>
      </c>
    </row>
    <row r="216" spans="1:12" ht="21.75" customHeight="1" x14ac:dyDescent="0.25">
      <c r="A216">
        <v>2026</v>
      </c>
      <c r="B216">
        <v>1070</v>
      </c>
      <c r="C216">
        <v>1933</v>
      </c>
      <c r="D216">
        <v>2372</v>
      </c>
      <c r="E216">
        <v>0.62280000000000002</v>
      </c>
      <c r="F216">
        <v>0.40589999999999998</v>
      </c>
      <c r="G216">
        <v>0.23219999999999999</v>
      </c>
    </row>
    <row r="217" spans="1:12" ht="21.75" customHeight="1" x14ac:dyDescent="0.25">
      <c r="A217">
        <v>2027</v>
      </c>
      <c r="B217">
        <v>1115</v>
      </c>
      <c r="C217">
        <v>2309</v>
      </c>
      <c r="D217">
        <v>3256</v>
      </c>
      <c r="E217">
        <v>0.64639999999999997</v>
      </c>
      <c r="F217">
        <v>0.41060000000000002</v>
      </c>
      <c r="G217">
        <v>0.24640000000000001</v>
      </c>
    </row>
    <row r="218" spans="1:12" ht="21.75" customHeight="1" x14ac:dyDescent="0.25">
      <c r="A218">
        <v>2028</v>
      </c>
      <c r="B218">
        <v>1175</v>
      </c>
      <c r="C218">
        <v>2814</v>
      </c>
      <c r="D218">
        <v>4292</v>
      </c>
      <c r="E218">
        <v>0.63019999999999998</v>
      </c>
      <c r="F218">
        <v>0.43969999999999998</v>
      </c>
      <c r="G218">
        <v>0.25190000000000001</v>
      </c>
    </row>
    <row r="219" spans="1:12" ht="21.75" customHeight="1" x14ac:dyDescent="0.25"/>
    <row r="220" spans="1:12" ht="21.75" customHeight="1" x14ac:dyDescent="0.25">
      <c r="A220" s="12" t="s">
        <v>617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ht="21.75" customHeight="1" x14ac:dyDescent="0.25">
      <c r="A221" s="11" t="s">
        <v>618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</row>
    <row r="222" spans="1:12" ht="21.75" customHeight="1" x14ac:dyDescent="0.25">
      <c r="A222" s="24" t="s">
        <v>290</v>
      </c>
      <c r="B222" s="24" t="s">
        <v>619</v>
      </c>
      <c r="C222" s="24" t="s">
        <v>620</v>
      </c>
      <c r="D222" s="24" t="s">
        <v>621</v>
      </c>
      <c r="E222" s="24" t="s">
        <v>622</v>
      </c>
      <c r="F222" s="24" t="s">
        <v>623</v>
      </c>
      <c r="G222" s="24" t="s">
        <v>624</v>
      </c>
      <c r="H222" s="24" t="s">
        <v>625</v>
      </c>
      <c r="I222" s="24" t="s">
        <v>626</v>
      </c>
      <c r="J222" s="24" t="s">
        <v>627</v>
      </c>
    </row>
    <row r="223" spans="1:12" ht="21.75" customHeight="1" x14ac:dyDescent="0.25">
      <c r="A223" s="181" t="s">
        <v>275</v>
      </c>
      <c r="B223" s="182">
        <v>0.2</v>
      </c>
      <c r="C223" s="182">
        <v>0.45</v>
      </c>
      <c r="D223" s="182">
        <v>0.8</v>
      </c>
      <c r="E223" s="83">
        <v>0.11559999999999999</v>
      </c>
      <c r="F223" s="83">
        <v>0.1115</v>
      </c>
      <c r="G223" s="83">
        <v>0.1094</v>
      </c>
      <c r="H223" s="66">
        <v>0.1111</v>
      </c>
      <c r="I223" s="106" t="s">
        <v>276</v>
      </c>
      <c r="J223" s="98">
        <v>0.03</v>
      </c>
    </row>
    <row r="224" spans="1:12" ht="21.75" customHeight="1" x14ac:dyDescent="0.25">
      <c r="A224" s="54" t="s">
        <v>277</v>
      </c>
      <c r="B224" s="57">
        <v>0.3</v>
      </c>
      <c r="C224" s="57">
        <v>0.6</v>
      </c>
      <c r="D224" s="57">
        <v>1.1000000000000001</v>
      </c>
      <c r="E224" s="55">
        <v>0.1169</v>
      </c>
      <c r="F224" s="55">
        <v>0.1132</v>
      </c>
      <c r="G224" s="55">
        <v>0.11219999999999999</v>
      </c>
      <c r="H224" s="55">
        <v>0.1142</v>
      </c>
      <c r="I224" s="85" t="s">
        <v>278</v>
      </c>
      <c r="J224" s="99">
        <v>-0.12</v>
      </c>
    </row>
    <row r="225" spans="1:12" ht="21.75" customHeight="1" x14ac:dyDescent="0.25">
      <c r="A225" s="51" t="s">
        <v>279</v>
      </c>
      <c r="B225" s="95">
        <v>0.4</v>
      </c>
      <c r="C225" s="95">
        <v>0.8</v>
      </c>
      <c r="D225" s="95">
        <v>1.5</v>
      </c>
      <c r="E225" s="53">
        <v>0.12139999999999999</v>
      </c>
      <c r="F225" s="53">
        <v>0.1183</v>
      </c>
      <c r="G225" s="53">
        <v>0.1192</v>
      </c>
      <c r="H225" s="53">
        <v>0.1203</v>
      </c>
      <c r="I225" s="85" t="s">
        <v>278</v>
      </c>
      <c r="J225" s="99">
        <v>-0.32</v>
      </c>
    </row>
    <row r="226" spans="1:12" ht="21.75" customHeight="1" x14ac:dyDescent="0.25">
      <c r="A226" s="54" t="s">
        <v>628</v>
      </c>
      <c r="B226" s="57">
        <v>0.05</v>
      </c>
      <c r="C226" s="57">
        <v>0.15</v>
      </c>
      <c r="D226" s="57">
        <v>0.35</v>
      </c>
      <c r="E226" s="55">
        <v>0.1474</v>
      </c>
      <c r="F226" s="55">
        <v>0.14460000000000001</v>
      </c>
      <c r="G226" s="55">
        <v>0.14019999999999999</v>
      </c>
      <c r="H226" s="55">
        <v>0.13800000000000001</v>
      </c>
      <c r="I226" s="117" t="s">
        <v>629</v>
      </c>
      <c r="J226" s="183">
        <v>0.33</v>
      </c>
    </row>
    <row r="227" spans="1:12" ht="21.75" customHeight="1" x14ac:dyDescent="0.25">
      <c r="A227" s="51" t="s">
        <v>630</v>
      </c>
      <c r="B227" s="95">
        <v>0.8</v>
      </c>
      <c r="C227" s="95">
        <v>1.5</v>
      </c>
      <c r="D227" s="95">
        <v>2.5</v>
      </c>
      <c r="E227" s="53">
        <v>0.12920000000000001</v>
      </c>
      <c r="F227" s="53">
        <v>0.1298</v>
      </c>
      <c r="G227" s="53">
        <v>0.13600000000000001</v>
      </c>
      <c r="H227" s="53">
        <v>0.13150000000000001</v>
      </c>
      <c r="I227" s="178" t="s">
        <v>282</v>
      </c>
      <c r="J227" s="99">
        <v>-1.02</v>
      </c>
    </row>
    <row r="228" spans="1:12" ht="21.75" customHeight="1" x14ac:dyDescent="0.25">
      <c r="A228" s="54" t="s">
        <v>280</v>
      </c>
      <c r="B228" s="57">
        <v>0.1</v>
      </c>
      <c r="C228" s="57">
        <v>0.3</v>
      </c>
      <c r="D228" s="57">
        <v>0.6</v>
      </c>
      <c r="E228" s="55">
        <v>0.1076</v>
      </c>
      <c r="F228" s="55">
        <v>0.104</v>
      </c>
      <c r="G228" s="55">
        <v>0.1007</v>
      </c>
      <c r="H228" s="55">
        <v>0.1016</v>
      </c>
      <c r="I228" s="87" t="s">
        <v>276</v>
      </c>
      <c r="J228" s="98">
        <v>0.18</v>
      </c>
    </row>
    <row r="229" spans="1:12" ht="21.75" customHeight="1" x14ac:dyDescent="0.25">
      <c r="A229" s="51" t="s">
        <v>631</v>
      </c>
      <c r="B229" s="95">
        <v>5</v>
      </c>
      <c r="C229" s="95">
        <v>8</v>
      </c>
      <c r="D229" s="95">
        <v>12</v>
      </c>
      <c r="E229" s="53">
        <v>0.1308</v>
      </c>
      <c r="F229" s="53">
        <v>0.16439999999999999</v>
      </c>
      <c r="G229" s="53">
        <v>0.2109</v>
      </c>
      <c r="H229" s="53">
        <v>9.8699999999999996E-2</v>
      </c>
      <c r="I229" s="178" t="s">
        <v>282</v>
      </c>
      <c r="J229" s="99">
        <v>-7.52</v>
      </c>
    </row>
    <row r="230" spans="1:12" ht="21.75" customHeight="1" x14ac:dyDescent="0.25">
      <c r="A230" s="54" t="s">
        <v>281</v>
      </c>
      <c r="B230" s="57">
        <v>0.6</v>
      </c>
      <c r="C230" s="57">
        <v>1.2</v>
      </c>
      <c r="D230" s="57">
        <v>2</v>
      </c>
      <c r="E230" s="55">
        <v>0.1162</v>
      </c>
      <c r="F230" s="55">
        <v>0.1153</v>
      </c>
      <c r="G230" s="55">
        <v>0.1192</v>
      </c>
      <c r="H230" s="55">
        <v>0.1172</v>
      </c>
      <c r="I230" s="178" t="s">
        <v>282</v>
      </c>
      <c r="J230" s="99">
        <v>-0.72</v>
      </c>
    </row>
    <row r="231" spans="1:12" ht="21.75" customHeight="1" x14ac:dyDescent="0.25"/>
    <row r="232" spans="1:12" ht="21.75" customHeight="1" x14ac:dyDescent="0.25">
      <c r="A232" s="195" t="s">
        <v>632</v>
      </c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</row>
    <row r="233" spans="1:12" ht="21.75" customHeight="1" x14ac:dyDescent="0.25"/>
    <row r="234" spans="1:12" ht="21.75" customHeight="1" x14ac:dyDescent="0.25"/>
    <row r="235" spans="1:12" ht="21.75" customHeight="1" x14ac:dyDescent="0.25">
      <c r="A235" s="6" t="s">
        <v>633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21.75" customHeight="1" x14ac:dyDescent="0.25">
      <c r="A236" s="11" t="s">
        <v>634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</row>
    <row r="237" spans="1:12" ht="21.75" customHeight="1" x14ac:dyDescent="0.25">
      <c r="A237" s="24" t="s">
        <v>1</v>
      </c>
      <c r="B237" s="24" t="s">
        <v>19</v>
      </c>
      <c r="C237" s="24" t="s">
        <v>20</v>
      </c>
      <c r="D237" s="24" t="s">
        <v>21</v>
      </c>
      <c r="E237" s="24" t="s">
        <v>22</v>
      </c>
      <c r="F237" s="24" t="s">
        <v>23</v>
      </c>
      <c r="G237" s="24" t="s">
        <v>231</v>
      </c>
      <c r="H237" s="24" t="s">
        <v>189</v>
      </c>
    </row>
    <row r="238" spans="1:12" ht="21.75" customHeight="1" x14ac:dyDescent="0.25">
      <c r="A238" s="51" t="s">
        <v>635</v>
      </c>
      <c r="B238" s="56">
        <v>3399</v>
      </c>
      <c r="C238" s="56">
        <v>4053</v>
      </c>
      <c r="D238" s="56">
        <v>4919</v>
      </c>
      <c r="E238" s="56">
        <v>5544</v>
      </c>
      <c r="F238" s="56">
        <v>6523</v>
      </c>
      <c r="G238" s="52" t="s">
        <v>636</v>
      </c>
      <c r="H238" s="52" t="s">
        <v>195</v>
      </c>
    </row>
    <row r="239" spans="1:12" ht="21.75" customHeight="1" x14ac:dyDescent="0.25">
      <c r="A239" s="58" t="s">
        <v>637</v>
      </c>
      <c r="B239" s="59">
        <v>1817</v>
      </c>
      <c r="C239" s="59">
        <v>1977</v>
      </c>
      <c r="D239" s="59">
        <v>2434</v>
      </c>
      <c r="E239" s="59">
        <v>2625</v>
      </c>
      <c r="F239" s="59">
        <v>3221</v>
      </c>
      <c r="G239" s="184" t="s">
        <v>636</v>
      </c>
      <c r="H239" s="184" t="s">
        <v>195</v>
      </c>
    </row>
    <row r="240" spans="1:12" ht="21.75" customHeight="1" x14ac:dyDescent="0.25">
      <c r="A240" s="58" t="s">
        <v>638</v>
      </c>
      <c r="B240" s="59">
        <v>1287</v>
      </c>
      <c r="C240" s="59">
        <v>1478</v>
      </c>
      <c r="D240" s="59">
        <v>1867</v>
      </c>
      <c r="E240" s="59">
        <v>2051</v>
      </c>
      <c r="F240" s="59">
        <v>2458</v>
      </c>
      <c r="G240" s="184" t="s">
        <v>636</v>
      </c>
      <c r="H240" s="184" t="s">
        <v>195</v>
      </c>
    </row>
    <row r="241" spans="1:8" ht="21.75" customHeight="1" x14ac:dyDescent="0.25">
      <c r="A241" s="58" t="s">
        <v>639</v>
      </c>
      <c r="B241" s="59">
        <v>558</v>
      </c>
      <c r="C241" s="59">
        <v>647</v>
      </c>
      <c r="D241" s="59">
        <v>879</v>
      </c>
      <c r="E241" s="59">
        <v>1080</v>
      </c>
      <c r="F241" s="59">
        <v>1183</v>
      </c>
      <c r="G241" s="184" t="s">
        <v>636</v>
      </c>
      <c r="H241" s="184" t="s">
        <v>195</v>
      </c>
    </row>
    <row r="242" spans="1:8" ht="21.75" customHeight="1" x14ac:dyDescent="0.25">
      <c r="A242" s="58" t="s">
        <v>640</v>
      </c>
      <c r="B242" s="59">
        <v>1221</v>
      </c>
      <c r="C242" s="59">
        <v>1343</v>
      </c>
      <c r="D242" s="59">
        <v>1742</v>
      </c>
      <c r="E242" s="59">
        <v>1878</v>
      </c>
      <c r="F242" s="59">
        <v>2268</v>
      </c>
      <c r="G242" s="184" t="s">
        <v>636</v>
      </c>
      <c r="H242" s="184" t="s">
        <v>195</v>
      </c>
    </row>
    <row r="243" spans="1:8" ht="21.75" customHeight="1" x14ac:dyDescent="0.25">
      <c r="A243" s="58" t="s">
        <v>641</v>
      </c>
      <c r="B243" s="59">
        <v>838</v>
      </c>
      <c r="C243" s="59">
        <v>966</v>
      </c>
      <c r="D243" s="59">
        <v>1278</v>
      </c>
      <c r="E243" s="59">
        <v>1391</v>
      </c>
      <c r="F243" s="59">
        <v>1695</v>
      </c>
      <c r="G243" s="184" t="s">
        <v>636</v>
      </c>
      <c r="H243" s="184" t="s">
        <v>195</v>
      </c>
    </row>
    <row r="244" spans="1:8" ht="21.75" customHeight="1" x14ac:dyDescent="0.25">
      <c r="A244" s="58" t="s">
        <v>642</v>
      </c>
      <c r="B244" s="59">
        <v>188</v>
      </c>
      <c r="C244" s="59">
        <v>388</v>
      </c>
      <c r="D244" s="59">
        <v>473</v>
      </c>
      <c r="E244" s="59">
        <v>586</v>
      </c>
      <c r="F244" s="59">
        <v>652</v>
      </c>
      <c r="G244" s="184" t="s">
        <v>636</v>
      </c>
      <c r="H244" s="184" t="s">
        <v>195</v>
      </c>
    </row>
    <row r="245" spans="1:8" ht="21.75" customHeight="1" x14ac:dyDescent="0.25">
      <c r="A245" s="100" t="s">
        <v>643</v>
      </c>
      <c r="B245" s="185">
        <v>2112</v>
      </c>
      <c r="C245" s="185">
        <v>2575</v>
      </c>
      <c r="D245" s="185">
        <v>3052</v>
      </c>
      <c r="E245" s="185">
        <v>3493</v>
      </c>
      <c r="F245" s="185">
        <v>4065</v>
      </c>
      <c r="G245" s="186" t="s">
        <v>636</v>
      </c>
      <c r="H245" s="186" t="s">
        <v>195</v>
      </c>
    </row>
    <row r="246" spans="1:8" ht="21.75" customHeight="1" x14ac:dyDescent="0.25">
      <c r="A246" s="60" t="s">
        <v>644</v>
      </c>
      <c r="B246" s="61">
        <v>2322</v>
      </c>
      <c r="C246" s="61">
        <v>2928</v>
      </c>
      <c r="D246" s="61">
        <v>3451</v>
      </c>
      <c r="E246" s="61">
        <v>4189</v>
      </c>
      <c r="F246" s="61">
        <v>5208</v>
      </c>
      <c r="G246" s="187" t="s">
        <v>636</v>
      </c>
      <c r="H246" s="187" t="s">
        <v>195</v>
      </c>
    </row>
    <row r="247" spans="1:8" ht="21.75" customHeight="1" x14ac:dyDescent="0.25">
      <c r="A247" s="54" t="s">
        <v>645</v>
      </c>
      <c r="B247" s="57">
        <v>4.4400000000000004</v>
      </c>
      <c r="C247" s="57">
        <v>4.72</v>
      </c>
      <c r="D247" s="57">
        <v>4.4800000000000004</v>
      </c>
      <c r="E247" s="57">
        <v>4.75</v>
      </c>
      <c r="F247" s="57">
        <v>4.7699999999999996</v>
      </c>
      <c r="G247" s="28" t="s">
        <v>636</v>
      </c>
      <c r="H247" s="28" t="s">
        <v>197</v>
      </c>
    </row>
    <row r="248" spans="1:8" ht="21.75" customHeight="1" x14ac:dyDescent="0.25">
      <c r="A248" s="58" t="s">
        <v>646</v>
      </c>
      <c r="B248" s="59">
        <v>1152</v>
      </c>
      <c r="C248" s="59">
        <v>1152</v>
      </c>
      <c r="D248" s="59">
        <v>1152</v>
      </c>
      <c r="E248" s="59">
        <v>1152</v>
      </c>
      <c r="F248" s="59">
        <v>1152</v>
      </c>
      <c r="G248" s="184" t="s">
        <v>647</v>
      </c>
      <c r="H248" s="184" t="s">
        <v>195</v>
      </c>
    </row>
    <row r="249" spans="1:8" ht="21.75" customHeight="1" x14ac:dyDescent="0.25">
      <c r="A249" s="54" t="s">
        <v>648</v>
      </c>
      <c r="B249" s="55">
        <v>0.74450000000000005</v>
      </c>
      <c r="C249" s="55">
        <v>0.71399999999999997</v>
      </c>
      <c r="D249" s="55">
        <v>0.75</v>
      </c>
      <c r="E249" s="55">
        <v>0.73399999999999999</v>
      </c>
      <c r="F249" s="55">
        <v>0.76600000000000001</v>
      </c>
      <c r="G249" s="28" t="s">
        <v>636</v>
      </c>
      <c r="H249" s="28" t="s">
        <v>191</v>
      </c>
    </row>
    <row r="250" spans="1:8" ht="21.75" customHeight="1" x14ac:dyDescent="0.25"/>
    <row r="251" spans="1:8" ht="21.75" customHeight="1" x14ac:dyDescent="0.25"/>
    <row r="280" spans="1:12" ht="21.75" customHeight="1" x14ac:dyDescent="0.25">
      <c r="A280" s="12" t="s">
        <v>649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</row>
    <row r="281" spans="1:12" ht="21.75" customHeight="1" x14ac:dyDescent="0.25">
      <c r="A281" s="11" t="s">
        <v>650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</row>
    <row r="282" spans="1:12" ht="21.75" customHeight="1" x14ac:dyDescent="0.25">
      <c r="A282" s="24" t="s">
        <v>290</v>
      </c>
      <c r="B282" s="24" t="s">
        <v>291</v>
      </c>
      <c r="C282" s="24" t="s">
        <v>591</v>
      </c>
      <c r="D282" s="24" t="s">
        <v>651</v>
      </c>
      <c r="E282" s="24" t="s">
        <v>652</v>
      </c>
      <c r="F282" s="24" t="s">
        <v>292</v>
      </c>
      <c r="G282" s="24" t="s">
        <v>293</v>
      </c>
      <c r="H282" s="24" t="s">
        <v>653</v>
      </c>
      <c r="I282" s="24" t="s">
        <v>654</v>
      </c>
      <c r="J282" s="24" t="s">
        <v>295</v>
      </c>
    </row>
    <row r="283" spans="1:12" ht="21.75" customHeight="1" x14ac:dyDescent="0.25">
      <c r="A283" s="181" t="s">
        <v>275</v>
      </c>
      <c r="B283" s="75">
        <v>0.5</v>
      </c>
      <c r="C283" s="188">
        <v>1.19</v>
      </c>
      <c r="D283" s="66">
        <v>0.1424</v>
      </c>
      <c r="E283" s="66">
        <v>0.06</v>
      </c>
      <c r="F283" s="84">
        <v>0.1109</v>
      </c>
      <c r="G283" s="66">
        <v>0.1111</v>
      </c>
      <c r="H283" s="90">
        <v>2.0000000000000001E-4</v>
      </c>
      <c r="I283" s="59">
        <v>0</v>
      </c>
      <c r="J283" s="106" t="s">
        <v>296</v>
      </c>
    </row>
    <row r="284" spans="1:12" ht="21.75" customHeight="1" x14ac:dyDescent="0.25">
      <c r="A284" s="54" t="s">
        <v>277</v>
      </c>
      <c r="B284" s="57">
        <v>0.65</v>
      </c>
      <c r="C284" s="189">
        <v>1.3680000000000001</v>
      </c>
      <c r="D284" s="55">
        <v>0.15390000000000001</v>
      </c>
      <c r="E284" s="55">
        <v>6.2199999999999998E-2</v>
      </c>
      <c r="F284" s="55">
        <v>0.1129</v>
      </c>
      <c r="G284" s="55">
        <v>0.1142</v>
      </c>
      <c r="H284" s="90">
        <v>1.2999999999999999E-3</v>
      </c>
      <c r="I284" s="59">
        <v>0</v>
      </c>
      <c r="J284" s="87" t="s">
        <v>296</v>
      </c>
    </row>
    <row r="285" spans="1:12" ht="21.75" customHeight="1" x14ac:dyDescent="0.25">
      <c r="A285" s="51" t="s">
        <v>279</v>
      </c>
      <c r="B285" s="95">
        <v>0.85</v>
      </c>
      <c r="C285" s="97">
        <v>1.68</v>
      </c>
      <c r="D285" s="53">
        <v>0.17419999999999999</v>
      </c>
      <c r="E285" s="53">
        <v>6.5299999999999997E-2</v>
      </c>
      <c r="F285" s="53">
        <v>0.1181</v>
      </c>
      <c r="G285" s="53">
        <v>0.1203</v>
      </c>
      <c r="H285" s="90">
        <v>2.2000000000000001E-3</v>
      </c>
      <c r="I285" s="59">
        <v>0</v>
      </c>
      <c r="J285" s="87" t="s">
        <v>296</v>
      </c>
    </row>
    <row r="286" spans="1:12" ht="21.75" customHeight="1" x14ac:dyDescent="0.25">
      <c r="A286" s="54" t="s">
        <v>628</v>
      </c>
      <c r="B286" s="57">
        <v>0.2</v>
      </c>
      <c r="C286" s="189">
        <v>1.3919999999999999</v>
      </c>
      <c r="D286" s="55">
        <v>0.1555</v>
      </c>
      <c r="E286" s="55">
        <v>0.06</v>
      </c>
      <c r="F286" s="55">
        <v>0.1376</v>
      </c>
      <c r="G286" s="55">
        <v>0.13239999999999999</v>
      </c>
      <c r="H286" s="92">
        <v>-5.1999999999999998E-3</v>
      </c>
      <c r="I286" s="59">
        <v>-0.1</v>
      </c>
      <c r="J286" s="117" t="s">
        <v>655</v>
      </c>
    </row>
    <row r="287" spans="1:12" ht="21.75" customHeight="1" x14ac:dyDescent="0.25">
      <c r="A287" s="51" t="s">
        <v>630</v>
      </c>
      <c r="B287" s="95">
        <v>1.2</v>
      </c>
      <c r="C287" s="97">
        <v>2.1560000000000001</v>
      </c>
      <c r="D287" s="53">
        <v>0.2051</v>
      </c>
      <c r="E287" s="53">
        <v>7.0499999999999993E-2</v>
      </c>
      <c r="F287" s="53">
        <v>0.124</v>
      </c>
      <c r="G287" s="53">
        <v>0.1263</v>
      </c>
      <c r="H287" s="90">
        <v>2.3E-3</v>
      </c>
      <c r="I287" s="59">
        <v>0</v>
      </c>
      <c r="J287" s="87" t="s">
        <v>296</v>
      </c>
    </row>
    <row r="288" spans="1:12" ht="21.75" customHeight="1" x14ac:dyDescent="0.25">
      <c r="A288" s="54" t="s">
        <v>280</v>
      </c>
      <c r="B288" s="57">
        <v>0.35</v>
      </c>
      <c r="C288" s="189">
        <v>0.96</v>
      </c>
      <c r="D288" s="55">
        <v>0.12740000000000001</v>
      </c>
      <c r="E288" s="55">
        <v>0.06</v>
      </c>
      <c r="F288" s="55">
        <v>0.10680000000000001</v>
      </c>
      <c r="G288" s="55">
        <v>0.1051</v>
      </c>
      <c r="H288" s="190">
        <v>-1.6999999999999999E-3</v>
      </c>
      <c r="I288" s="59">
        <v>0</v>
      </c>
      <c r="J288" s="178" t="s">
        <v>297</v>
      </c>
    </row>
    <row r="289" spans="1:10" ht="21.75" customHeight="1" x14ac:dyDescent="0.25">
      <c r="A289" s="51" t="s">
        <v>281</v>
      </c>
      <c r="B289" s="95">
        <v>1</v>
      </c>
      <c r="C289" s="97">
        <v>1.71</v>
      </c>
      <c r="D289" s="53">
        <v>0.1762</v>
      </c>
      <c r="E289" s="53">
        <v>6.7500000000000004E-2</v>
      </c>
      <c r="F289" s="53">
        <v>0.11509999999999999</v>
      </c>
      <c r="G289" s="53">
        <v>0.1172</v>
      </c>
      <c r="H289" s="90">
        <v>2.0999999999999999E-3</v>
      </c>
      <c r="I289" s="59">
        <v>0</v>
      </c>
      <c r="J289" s="87" t="s">
        <v>296</v>
      </c>
    </row>
    <row r="290" spans="1:10" ht="21.75" customHeight="1" x14ac:dyDescent="0.25">
      <c r="A290" s="54" t="s">
        <v>298</v>
      </c>
      <c r="B290" s="57">
        <v>0.45</v>
      </c>
      <c r="C290" s="189">
        <v>1.0880000000000001</v>
      </c>
      <c r="D290" s="55">
        <v>0.13569999999999999</v>
      </c>
      <c r="E290" s="55">
        <v>0.06</v>
      </c>
      <c r="F290" s="55">
        <v>0.1085</v>
      </c>
      <c r="G290" s="55">
        <v>0.1081</v>
      </c>
      <c r="H290" s="190">
        <v>-4.0000000000000002E-4</v>
      </c>
      <c r="I290" s="59">
        <v>0</v>
      </c>
      <c r="J290" s="178" t="s">
        <v>297</v>
      </c>
    </row>
    <row r="291" spans="1:10" ht="21.75" customHeight="1" x14ac:dyDescent="0.25"/>
    <row r="292" spans="1:10" ht="21.75" customHeight="1" x14ac:dyDescent="0.25"/>
    <row r="293" spans="1:10" ht="21.75" customHeight="1" x14ac:dyDescent="0.25"/>
    <row r="294" spans="1:10" ht="21.75" customHeight="1" x14ac:dyDescent="0.25"/>
    <row r="295" spans="1:10" ht="21.75" customHeight="1" x14ac:dyDescent="0.25"/>
    <row r="296" spans="1:10" ht="21.75" customHeight="1" x14ac:dyDescent="0.25"/>
    <row r="297" spans="1:10" ht="21.75" customHeight="1" x14ac:dyDescent="0.25"/>
    <row r="298" spans="1:10" ht="21.75" customHeight="1" x14ac:dyDescent="0.25"/>
    <row r="299" spans="1:10" ht="21.75" customHeight="1" x14ac:dyDescent="0.25"/>
    <row r="300" spans="1:10" ht="21.75" customHeight="1" x14ac:dyDescent="0.25"/>
    <row r="301" spans="1:10" ht="21.75" customHeight="1" x14ac:dyDescent="0.25"/>
    <row r="302" spans="1:10" ht="21.75" customHeight="1" x14ac:dyDescent="0.25"/>
    <row r="303" spans="1:10" ht="21.75" customHeight="1" x14ac:dyDescent="0.25"/>
    <row r="304" spans="1:10" ht="21.75" customHeight="1" x14ac:dyDescent="0.25"/>
    <row r="305" spans="1:12" ht="21.75" customHeight="1" x14ac:dyDescent="0.25"/>
    <row r="306" spans="1:12" ht="21.75" customHeight="1" x14ac:dyDescent="0.25"/>
    <row r="307" spans="1:12" ht="21.75" customHeight="1" x14ac:dyDescent="0.25"/>
    <row r="308" spans="1:12" ht="21.75" customHeight="1" x14ac:dyDescent="0.25"/>
    <row r="309" spans="1:12" ht="21.75" customHeight="1" x14ac:dyDescent="0.25">
      <c r="A309" s="13" t="s">
        <v>656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21.75" customHeight="1" x14ac:dyDescent="0.25">
      <c r="A310" s="193" t="s">
        <v>657</v>
      </c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</row>
    <row r="311" spans="1:12" ht="21.75" customHeight="1" x14ac:dyDescent="0.25">
      <c r="A311" s="24" t="s">
        <v>658</v>
      </c>
      <c r="B311" s="24" t="s">
        <v>659</v>
      </c>
      <c r="C311" s="24" t="s">
        <v>660</v>
      </c>
      <c r="D311" s="24" t="s">
        <v>661</v>
      </c>
      <c r="E311" s="24" t="s">
        <v>662</v>
      </c>
      <c r="F311" s="24" t="s">
        <v>663</v>
      </c>
      <c r="G311" s="24" t="s">
        <v>664</v>
      </c>
      <c r="H311" s="24" t="s">
        <v>665</v>
      </c>
    </row>
    <row r="312" spans="1:12" ht="21.75" customHeight="1" x14ac:dyDescent="0.25">
      <c r="A312" s="96" t="s">
        <v>317</v>
      </c>
      <c r="B312" s="91" t="s">
        <v>318</v>
      </c>
      <c r="C312" s="108">
        <v>0.7</v>
      </c>
      <c r="D312" s="73">
        <v>2379</v>
      </c>
      <c r="E312" s="85"/>
      <c r="F312" s="85" t="s">
        <v>319</v>
      </c>
      <c r="G312" s="85" t="s">
        <v>666</v>
      </c>
      <c r="H312" s="85" t="s">
        <v>667</v>
      </c>
    </row>
    <row r="313" spans="1:12" ht="21.75" customHeight="1" x14ac:dyDescent="0.25">
      <c r="A313" s="104" t="s">
        <v>320</v>
      </c>
      <c r="B313" s="106" t="s">
        <v>321</v>
      </c>
      <c r="C313" s="191">
        <v>0.5</v>
      </c>
      <c r="D313" s="130">
        <v>1699</v>
      </c>
      <c r="E313" s="87" t="s">
        <v>322</v>
      </c>
      <c r="F313" s="87" t="s">
        <v>323</v>
      </c>
      <c r="G313" s="87" t="s">
        <v>668</v>
      </c>
      <c r="H313" s="87" t="s">
        <v>669</v>
      </c>
    </row>
    <row r="314" spans="1:12" ht="21.75" customHeight="1" x14ac:dyDescent="0.25">
      <c r="A314" s="110" t="s">
        <v>324</v>
      </c>
      <c r="B314" s="111" t="s">
        <v>325</v>
      </c>
      <c r="C314" s="112">
        <v>0.35</v>
      </c>
      <c r="D314" s="192">
        <v>1190</v>
      </c>
      <c r="E314" s="113"/>
      <c r="F314" s="113" t="s">
        <v>326</v>
      </c>
      <c r="G314" s="113" t="s">
        <v>670</v>
      </c>
      <c r="H314" s="113" t="s">
        <v>671</v>
      </c>
    </row>
    <row r="315" spans="1:12" ht="21.75" customHeight="1" x14ac:dyDescent="0.25">
      <c r="A315" s="115" t="s">
        <v>327</v>
      </c>
      <c r="B315" s="93" t="s">
        <v>328</v>
      </c>
      <c r="C315" s="116">
        <v>0.2</v>
      </c>
      <c r="D315" s="74">
        <v>680</v>
      </c>
      <c r="E315" s="117"/>
      <c r="F315" s="117" t="s">
        <v>329</v>
      </c>
      <c r="G315" s="117" t="s">
        <v>672</v>
      </c>
      <c r="H315" s="117" t="s">
        <v>673</v>
      </c>
    </row>
    <row r="316" spans="1:12" ht="21.75" customHeight="1" x14ac:dyDescent="0.25"/>
    <row r="317" spans="1:12" ht="21.75" customHeight="1" x14ac:dyDescent="0.25"/>
    <row r="318" spans="1:12" ht="21.75" customHeight="1" x14ac:dyDescent="0.25"/>
    <row r="319" spans="1:12" ht="21.75" customHeight="1" x14ac:dyDescent="0.25">
      <c r="A319" s="6" t="s">
        <v>674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21.75" customHeight="1" x14ac:dyDescent="0.25">
      <c r="A320" s="11" t="s">
        <v>675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</row>
    <row r="321" spans="1:11" ht="21.75" customHeight="1" x14ac:dyDescent="0.25">
      <c r="A321" s="24" t="s">
        <v>676</v>
      </c>
      <c r="B321" s="24" t="s">
        <v>677</v>
      </c>
      <c r="C321" s="24" t="s">
        <v>300</v>
      </c>
      <c r="D321" s="24" t="s">
        <v>678</v>
      </c>
      <c r="E321" s="24" t="s">
        <v>301</v>
      </c>
      <c r="F321" s="24" t="s">
        <v>679</v>
      </c>
      <c r="G321" s="24" t="s">
        <v>284</v>
      </c>
      <c r="H321" s="24" t="s">
        <v>302</v>
      </c>
      <c r="I321" s="24" t="s">
        <v>285</v>
      </c>
      <c r="J321" s="24" t="s">
        <v>680</v>
      </c>
      <c r="K321" s="24" t="s">
        <v>303</v>
      </c>
    </row>
    <row r="322" spans="1:11" ht="21.75" customHeight="1" x14ac:dyDescent="0.25">
      <c r="A322" s="47" t="s">
        <v>304</v>
      </c>
      <c r="B322" s="67">
        <v>2.5000000000000001E-2</v>
      </c>
      <c r="C322" s="67">
        <v>4.4999999999999998E-2</v>
      </c>
      <c r="D322" s="73">
        <v>279</v>
      </c>
      <c r="E322" s="67">
        <v>9.3700000000000006E-2</v>
      </c>
      <c r="F322" s="150">
        <v>-1.7399999999999999E-2</v>
      </c>
      <c r="G322" s="73">
        <v>3455</v>
      </c>
      <c r="H322" s="103">
        <v>56</v>
      </c>
      <c r="I322" s="73">
        <v>1213</v>
      </c>
      <c r="J322" s="73">
        <v>2248</v>
      </c>
      <c r="K322" s="85" t="s">
        <v>681</v>
      </c>
    </row>
    <row r="323" spans="1:11" ht="21.75" customHeight="1" x14ac:dyDescent="0.25">
      <c r="A323" s="47" t="s">
        <v>306</v>
      </c>
      <c r="B323" s="67">
        <v>3.5000000000000003E-2</v>
      </c>
      <c r="C323" s="67">
        <v>5.1999999999999998E-2</v>
      </c>
      <c r="D323" s="73">
        <v>322</v>
      </c>
      <c r="E323" s="67">
        <v>0.1023</v>
      </c>
      <c r="F323" s="150">
        <v>-8.8000000000000005E-3</v>
      </c>
      <c r="G323" s="73">
        <v>3538</v>
      </c>
      <c r="H323" s="103">
        <v>139</v>
      </c>
      <c r="I323" s="73">
        <v>1338</v>
      </c>
      <c r="J323" s="73">
        <v>2220</v>
      </c>
      <c r="K323" s="85" t="s">
        <v>681</v>
      </c>
    </row>
    <row r="324" spans="1:11" ht="21.75" customHeight="1" x14ac:dyDescent="0.25">
      <c r="A324" s="104" t="s">
        <v>307</v>
      </c>
      <c r="B324" s="83">
        <v>4.4999999999999998E-2</v>
      </c>
      <c r="C324" s="83">
        <v>0.06</v>
      </c>
      <c r="D324" s="101">
        <v>372</v>
      </c>
      <c r="E324" s="83">
        <v>0.1111</v>
      </c>
      <c r="F324" s="102">
        <v>0</v>
      </c>
      <c r="G324" s="101">
        <v>3348</v>
      </c>
      <c r="H324" s="105">
        <v>-51</v>
      </c>
      <c r="I324" s="101">
        <v>1155</v>
      </c>
      <c r="J324" s="101">
        <v>1917</v>
      </c>
      <c r="K324" s="106" t="s">
        <v>682</v>
      </c>
    </row>
    <row r="325" spans="1:11" ht="21.75" customHeight="1" x14ac:dyDescent="0.25">
      <c r="A325" s="51" t="s">
        <v>309</v>
      </c>
      <c r="B325" s="53">
        <v>5.5E-2</v>
      </c>
      <c r="C325" s="53">
        <v>6.8000000000000005E-2</v>
      </c>
      <c r="D325" s="56">
        <v>422</v>
      </c>
      <c r="E325" s="53">
        <v>0.12</v>
      </c>
      <c r="F325" s="62">
        <v>8.8999999999999999E-3</v>
      </c>
      <c r="G325" s="56">
        <v>3344</v>
      </c>
      <c r="H325" s="107">
        <v>-55</v>
      </c>
      <c r="I325" s="56">
        <v>1266</v>
      </c>
      <c r="J325" s="56">
        <v>1799</v>
      </c>
      <c r="K325" s="52" t="s">
        <v>682</v>
      </c>
    </row>
    <row r="326" spans="1:11" ht="21.75" customHeight="1" x14ac:dyDescent="0.25">
      <c r="A326" s="51" t="s">
        <v>310</v>
      </c>
      <c r="B326" s="53">
        <v>6.5000000000000002E-2</v>
      </c>
      <c r="C326" s="53">
        <v>7.4999999999999997E-2</v>
      </c>
      <c r="D326" s="56">
        <v>465</v>
      </c>
      <c r="E326" s="53">
        <v>0.1285</v>
      </c>
      <c r="F326" s="62">
        <v>1.7399999999999999E-2</v>
      </c>
      <c r="G326" s="56">
        <v>3298</v>
      </c>
      <c r="H326" s="107">
        <v>-101</v>
      </c>
      <c r="I326" s="56">
        <v>1079</v>
      </c>
      <c r="J326" s="56">
        <v>1643</v>
      </c>
      <c r="K326" s="52" t="s">
        <v>682</v>
      </c>
    </row>
    <row r="327" spans="1:11" ht="21.75" customHeight="1" x14ac:dyDescent="0.25">
      <c r="A327" s="51" t="s">
        <v>311</v>
      </c>
      <c r="B327" s="53">
        <v>7.4999999999999997E-2</v>
      </c>
      <c r="C327" s="53">
        <v>0.08</v>
      </c>
      <c r="D327" s="56">
        <v>496</v>
      </c>
      <c r="E327" s="53">
        <v>0.1366</v>
      </c>
      <c r="F327" s="62">
        <v>2.5499999999999998E-2</v>
      </c>
      <c r="G327" s="56">
        <v>3243</v>
      </c>
      <c r="H327" s="107">
        <v>-156</v>
      </c>
      <c r="I327" s="56">
        <v>1167</v>
      </c>
      <c r="J327" s="56">
        <v>1483</v>
      </c>
      <c r="K327" s="52" t="s">
        <v>682</v>
      </c>
    </row>
    <row r="328" spans="1:11" ht="21.75" customHeight="1" x14ac:dyDescent="0.25">
      <c r="A328" s="51" t="s">
        <v>312</v>
      </c>
      <c r="B328" s="53">
        <v>9.5000000000000001E-2</v>
      </c>
      <c r="C328" s="53">
        <v>0.09</v>
      </c>
      <c r="D328" s="56">
        <v>558</v>
      </c>
      <c r="E328" s="53">
        <v>0.1527</v>
      </c>
      <c r="F328" s="62">
        <v>4.1599999999999998E-2</v>
      </c>
      <c r="G328" s="56">
        <v>3247</v>
      </c>
      <c r="H328" s="107">
        <v>-152</v>
      </c>
      <c r="I328" s="56">
        <v>1150</v>
      </c>
      <c r="J328" s="56">
        <v>1280</v>
      </c>
      <c r="K328" s="52" t="s">
        <v>682</v>
      </c>
    </row>
    <row r="329" spans="1:11" ht="21.75" customHeight="1" x14ac:dyDescent="0.25"/>
    <row r="330" spans="1:11" ht="21.75" customHeight="1" x14ac:dyDescent="0.25"/>
    <row r="331" spans="1:11" ht="21.75" customHeight="1" x14ac:dyDescent="0.25"/>
    <row r="332" spans="1:11" ht="21.75" customHeight="1" x14ac:dyDescent="0.25"/>
    <row r="333" spans="1:11" ht="21.75" customHeight="1" x14ac:dyDescent="0.25"/>
    <row r="334" spans="1:11" ht="21.75" customHeight="1" x14ac:dyDescent="0.25"/>
    <row r="335" spans="1:11" ht="21.75" customHeight="1" x14ac:dyDescent="0.25"/>
    <row r="336" spans="1:11" ht="21.75" customHeight="1" x14ac:dyDescent="0.25"/>
    <row r="337" ht="21.75" customHeight="1" x14ac:dyDescent="0.25"/>
    <row r="338" ht="21.75" customHeight="1" x14ac:dyDescent="0.25"/>
    <row r="339" ht="21.75" customHeight="1" x14ac:dyDescent="0.25"/>
    <row r="340" ht="21.75" customHeight="1" x14ac:dyDescent="0.25"/>
    <row r="341" ht="21.75" customHeight="1" x14ac:dyDescent="0.25"/>
    <row r="342" ht="21.75" customHeight="1" x14ac:dyDescent="0.25"/>
    <row r="343" ht="21.75" customHeight="1" x14ac:dyDescent="0.25"/>
    <row r="344" ht="21.75" customHeight="1" x14ac:dyDescent="0.25"/>
    <row r="345" ht="21.75" customHeight="1" x14ac:dyDescent="0.25"/>
  </sheetData>
  <mergeCells count="37">
    <mergeCell ref="A319:L319"/>
    <mergeCell ref="A320:L320"/>
    <mergeCell ref="A236:L236"/>
    <mergeCell ref="A280:L280"/>
    <mergeCell ref="A281:L281"/>
    <mergeCell ref="A309:L309"/>
    <mergeCell ref="A310:L310"/>
    <mergeCell ref="A194:L194"/>
    <mergeCell ref="A220:L220"/>
    <mergeCell ref="A221:L221"/>
    <mergeCell ref="A232:L232"/>
    <mergeCell ref="A235:L235"/>
    <mergeCell ref="A162:L162"/>
    <mergeCell ref="A163:L163"/>
    <mergeCell ref="A164:L164"/>
    <mergeCell ref="A165:L165"/>
    <mergeCell ref="A193:L193"/>
    <mergeCell ref="A111:L111"/>
    <mergeCell ref="A112:L112"/>
    <mergeCell ref="A121:L121"/>
    <mergeCell ref="A160:L160"/>
    <mergeCell ref="A161:L161"/>
    <mergeCell ref="A101:L101"/>
    <mergeCell ref="A106:L106"/>
    <mergeCell ref="B107:L107"/>
    <mergeCell ref="B108:L108"/>
    <mergeCell ref="B109:L109"/>
    <mergeCell ref="A42:L42"/>
    <mergeCell ref="A75:L75"/>
    <mergeCell ref="A76:L76"/>
    <mergeCell ref="A88:L88"/>
    <mergeCell ref="A100:L100"/>
    <mergeCell ref="A1:L1"/>
    <mergeCell ref="A3:L3"/>
    <mergeCell ref="A12:L12"/>
    <mergeCell ref="A26:L26"/>
    <mergeCell ref="A34:L3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Giả Định</vt:lpstr>
      <vt:lpstr>P&amp;L</vt:lpstr>
      <vt:lpstr>Balance Sheet</vt:lpstr>
      <vt:lpstr>Cash Flow</vt:lpstr>
      <vt:lpstr>Dashboard</vt:lpstr>
      <vt:lpstr>So Sánh</vt:lpstr>
      <vt:lpstr>Dự Báo 13 Tuần</vt:lpstr>
      <vt:lpstr>Nhạy Cảm</vt:lpstr>
      <vt:lpstr>Kịch Bản</vt:lpstr>
      <vt:lpstr>Monte Carlo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quan hoang</cp:lastModifiedBy>
  <cp:revision>11</cp:revision>
  <dcterms:created xsi:type="dcterms:W3CDTF">2026-10-19T03:37:24Z</dcterms:created>
  <dcterms:modified xsi:type="dcterms:W3CDTF">2026-10-19T09:47:04Z</dcterms:modified>
  <dc:language>en-US</dc:language>
</cp:coreProperties>
</file>